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codeName="ThisWorkbook"/>
  <mc:AlternateContent xmlns:mc="http://schemas.openxmlformats.org/markup-compatibility/2006">
    <mc:Choice Requires="x15">
      <x15ac:absPath xmlns:x15ac="http://schemas.microsoft.com/office/spreadsheetml/2010/11/ac" url="H:\BStevens\Forecasts\FY22\Nov Fall\"/>
    </mc:Choice>
  </mc:AlternateContent>
  <bookViews>
    <workbookView xWindow="0" yWindow="0" windowWidth="27876" windowHeight="12420" tabRatio="821" activeTab="1"/>
  </bookViews>
  <sheets>
    <sheet name="Cover" sheetId="23" r:id="rId1"/>
    <sheet name="Forecast" sheetId="25" r:id="rId2"/>
    <sheet name="Revision" sheetId="46" r:id="rId3"/>
    <sheet name="Summary" sheetId="39" r:id="rId4"/>
    <sheet name="Forecast vs Actual" sheetId="36" r:id="rId5"/>
    <sheet name="Tax" sheetId="30" r:id="rId6"/>
    <sheet name="TIF" sheetId="49" r:id="rId7"/>
    <sheet name="Note Calc" sheetId="2" r:id="rId8"/>
    <sheet name="SFPR" sheetId="42" r:id="rId9"/>
    <sheet name="Staffing" sheetId="45" r:id="rId10"/>
    <sheet name="Graphs" sheetId="20" r:id="rId11"/>
    <sheet name="Levy Analysis" sheetId="22" r:id="rId12"/>
    <sheet name="SM1" sheetId="38" state="hidden" r:id="rId13"/>
    <sheet name="USASFF" sheetId="40" r:id="rId14"/>
    <sheet name="Submit" sheetId="41" r:id="rId15"/>
    <sheet name="Prior-CSV" sheetId="48" r:id="rId16"/>
  </sheets>
  <externalReferences>
    <externalReference r:id="rId17"/>
  </externalReferences>
  <definedNames>
    <definedName name="AssessedValue">'Note Calc'!$AC$15:$AH$21</definedName>
    <definedName name="Average">Forecast!$B$1</definedName>
    <definedName name="BasicAid">'Note Calc'!$AC$75:$AH$80</definedName>
    <definedName name="Benefits">'Note Calc'!$AC$271:$AH$277</definedName>
    <definedName name="Capital">'Note Calc'!$AC$313:$AH$318</definedName>
    <definedName name="Debt">'Note Calc'!$AC$323:$AH$328</definedName>
    <definedName name="Encum">'Note Calc'!$AC$376:$AH$377</definedName>
    <definedName name="EndBal">'Note Calc'!$AC$392:$AH$393</definedName>
    <definedName name="Federal">'Note Calc'!$AC$94:$AH$95</definedName>
    <definedName name="File">#REF!</definedName>
    <definedName name="Fiscal_Year">[1]Parameters!$B$7</definedName>
    <definedName name="Forecasted_YR1">Forecast!$H$7:$H$91</definedName>
    <definedName name="Forecasted_yr1Notecalc">'Note Calc'!$AD:$AD</definedName>
    <definedName name="GeneralTax">'Note Calc'!$AC$26:$AH$27</definedName>
    <definedName name="Graph4">Graphs!$H$132</definedName>
    <definedName name="Graph6">Graphs!$F$201</definedName>
    <definedName name="GraphAnchor">Graphs!$L$1</definedName>
    <definedName name="HB">'Note Calc'!$AC$334:$AH$335</definedName>
    <definedName name="Home">Cover!$A$1</definedName>
    <definedName name="IncomeTax">'Note Calc'!$AC$63:$AH$66</definedName>
    <definedName name="Interest">'Note Calc'!$AC$339:$AH$340</definedName>
    <definedName name="Loan">'Note Calc'!$AC$168:$AH$169</definedName>
    <definedName name="MiscRev">'Note Calc'!$AC$140:$AH$150</definedName>
    <definedName name="New_Year">Forecast!$H$7</definedName>
    <definedName name="New_Year2">#REF!</definedName>
    <definedName name="NewLevy">'Note Calc'!$AC$49:$AH$52</definedName>
    <definedName name="NoteCalcAnchor">'Note Calc'!$K$1</definedName>
    <definedName name="Notes">'Note Calc'!$AC$164:$AH$165</definedName>
    <definedName name="Other">'Note Calc'!$AC$350:$AH$355</definedName>
    <definedName name="OtherUse">'Note Calc'!$AC$368:$AH$369</definedName>
    <definedName name="_xlnm.Print_Area" localSheetId="0">Cover!$A$1:$F$46</definedName>
    <definedName name="_xlnm.Print_Area" localSheetId="1">Forecast!$B$1:$L$91</definedName>
    <definedName name="_xlnm.Print_Area" localSheetId="10">Graphs!$A$1:$M$444</definedName>
    <definedName name="_xlnm.Print_Area" localSheetId="11">'Levy Analysis'!$A$1:$H$16</definedName>
    <definedName name="_xlnm.Print_Area" localSheetId="7">'Note Calc'!$A$1:$M$397</definedName>
    <definedName name="_xlnm.Print_Area" localSheetId="12">'SM1'!$B$42:$P$154</definedName>
    <definedName name="_xlnm.Print_Titles" localSheetId="1">Forecast!$1:$9</definedName>
    <definedName name="PUPP">'Note Calc'!$AC$57:$AH$58</definedName>
    <definedName name="Purchased">'Note Calc'!$AC$284:$AH$294</definedName>
    <definedName name="RenewLevy">'Note Calc'!$AC$41:$AH$44</definedName>
    <definedName name="RenewSDIT">'Note Calc'!$AC$36:$AH$37</definedName>
    <definedName name="Reserve">'Note Calc'!$AC$380:$AH$389</definedName>
    <definedName name="Restricted">'Note Calc'!$AC$84:$AH$89</definedName>
    <definedName name="Revision_base">Revision!$C$1</definedName>
    <definedName name="RH">'Note Calc'!$AC$128:$AH$132</definedName>
    <definedName name="ROPE">'Note Calc'!$AC$180:$AH$183</definedName>
    <definedName name="SFPR_Anchor">SFPR!$V$1</definedName>
    <definedName name="SMO">'Note Calc'!$AC$303:$AH$308</definedName>
    <definedName name="Staff_Anchor">Staffing!$J$2</definedName>
    <definedName name="STRS">'Note Calc'!$C$218:$K$225</definedName>
    <definedName name="StudentAnchor">#REF!</definedName>
    <definedName name="Summary">'Note Calc'!$AC$99:$AH$103</definedName>
    <definedName name="Tax_Test">'Note Calc'!$C$15:$K$21</definedName>
    <definedName name="TaxAnchor">Tax!$N$1</definedName>
    <definedName name="TranAdIIN">'Note Calc'!$AC$172:$AH$175</definedName>
    <definedName name="TranAdOut">'Note Calc'!$AC$362:$AH$365</definedName>
    <definedName name="Wages">'Note Calc'!$AC$202:$AH$203</definedName>
  </definedNames>
  <calcPr calcId="152511"/>
</workbook>
</file>

<file path=xl/calcChain.xml><?xml version="1.0" encoding="utf-8"?>
<calcChain xmlns="http://schemas.openxmlformats.org/spreadsheetml/2006/main">
  <c r="J147" i="2" l="1"/>
  <c r="I147" i="2"/>
  <c r="H147" i="2"/>
  <c r="G147" i="2"/>
  <c r="F353" i="2" l="1"/>
  <c r="F317" i="2"/>
  <c r="F304" i="2"/>
  <c r="F287" i="2"/>
  <c r="F248" i="2"/>
  <c r="F247" i="2"/>
  <c r="F225" i="2"/>
  <c r="F224" i="2"/>
  <c r="F223" i="2"/>
  <c r="F222" i="2"/>
  <c r="F220" i="2"/>
  <c r="H85" i="25" l="1"/>
  <c r="F182" i="2" l="1"/>
  <c r="I181" i="30"/>
  <c r="K125" i="30"/>
  <c r="K126" i="30" s="1"/>
  <c r="H126" i="30"/>
  <c r="C6" i="22" l="1"/>
  <c r="I176" i="30" l="1"/>
  <c r="F196" i="2"/>
  <c r="F221" i="2" s="1"/>
  <c r="F226" i="2" s="1"/>
  <c r="E145" i="2"/>
  <c r="I76" i="2"/>
  <c r="J76" i="2"/>
  <c r="H76" i="2"/>
  <c r="G76" i="2"/>
  <c r="F76" i="2"/>
  <c r="AH88" i="2" l="1"/>
  <c r="AG88" i="2"/>
  <c r="AF88" i="2"/>
  <c r="AE88" i="2"/>
  <c r="AD88" i="2"/>
  <c r="AH87" i="2"/>
  <c r="AG87" i="2"/>
  <c r="AF87" i="2"/>
  <c r="AE87" i="2"/>
  <c r="AD87" i="2"/>
  <c r="AH86" i="2"/>
  <c r="AG86" i="2"/>
  <c r="AF86" i="2"/>
  <c r="AE86" i="2"/>
  <c r="AD86" i="2"/>
  <c r="AH85" i="2"/>
  <c r="AG85" i="2"/>
  <c r="AF85" i="2"/>
  <c r="AE85" i="2"/>
  <c r="AC86" i="2"/>
  <c r="AC87" i="2"/>
  <c r="AC88" i="2"/>
  <c r="F88" i="2"/>
  <c r="G88" i="2" s="1"/>
  <c r="H88" i="2" s="1"/>
  <c r="I88" i="2" s="1"/>
  <c r="J88" i="2" s="1"/>
  <c r="F87" i="2"/>
  <c r="G87" i="2" s="1"/>
  <c r="H87" i="2" s="1"/>
  <c r="I87" i="2" s="1"/>
  <c r="J87" i="2" s="1"/>
  <c r="F86" i="2"/>
  <c r="G86" i="2" s="1"/>
  <c r="H86" i="2" s="1"/>
  <c r="I86" i="2" s="1"/>
  <c r="J86" i="2" s="1"/>
  <c r="I85" i="2"/>
  <c r="J85" i="2" s="1"/>
  <c r="H85" i="2"/>
  <c r="G85" i="2"/>
  <c r="F85" i="2"/>
  <c r="F200" i="2"/>
  <c r="F288" i="2"/>
  <c r="A5" i="41" l="1"/>
  <c r="A4" i="41"/>
  <c r="A3" i="41"/>
  <c r="K9" i="41" l="1"/>
  <c r="J9" i="41"/>
  <c r="I9" i="41"/>
  <c r="H9" i="41"/>
  <c r="G9" i="41"/>
  <c r="F9" i="41"/>
  <c r="E9" i="41"/>
  <c r="D9" i="41"/>
  <c r="C9" i="41"/>
  <c r="I185" i="30" l="1"/>
  <c r="I184" i="30"/>
  <c r="I183" i="30"/>
  <c r="I177" i="30" l="1"/>
  <c r="F94" i="25" l="1"/>
  <c r="E94" i="25"/>
  <c r="D94" i="25"/>
  <c r="F93" i="25"/>
  <c r="E93" i="25"/>
  <c r="D93" i="25"/>
  <c r="E314" i="2"/>
  <c r="E308" i="2"/>
  <c r="E305" i="2"/>
  <c r="E291" i="2"/>
  <c r="E264" i="2"/>
  <c r="E255" i="2"/>
  <c r="E202" i="2"/>
  <c r="H183" i="30" l="1"/>
  <c r="E76" i="2"/>
  <c r="E77" i="2"/>
  <c r="T41" i="40" l="1"/>
  <c r="S41" i="40"/>
  <c r="T40" i="40"/>
  <c r="S40" i="40"/>
  <c r="T39" i="40"/>
  <c r="S39" i="40"/>
  <c r="T38" i="40"/>
  <c r="S38" i="40"/>
  <c r="T37" i="40"/>
  <c r="S37" i="40"/>
  <c r="T36" i="40"/>
  <c r="S36" i="40"/>
  <c r="T35" i="40"/>
  <c r="S35" i="40"/>
  <c r="T34" i="40"/>
  <c r="S34" i="40"/>
  <c r="T33" i="40"/>
  <c r="S33" i="40"/>
  <c r="T32" i="40"/>
  <c r="S32" i="40"/>
  <c r="T31" i="40"/>
  <c r="S31" i="40"/>
  <c r="T30" i="40"/>
  <c r="S30" i="40"/>
  <c r="T29" i="40"/>
  <c r="S29" i="40"/>
  <c r="T28" i="40"/>
  <c r="S28" i="40"/>
  <c r="T27" i="40"/>
  <c r="S27" i="40"/>
  <c r="T26" i="40"/>
  <c r="S26" i="40"/>
  <c r="T25" i="40"/>
  <c r="S25" i="40"/>
  <c r="T24" i="40"/>
  <c r="S24" i="40"/>
  <c r="T23" i="40"/>
  <c r="S23" i="40"/>
  <c r="T22" i="40"/>
  <c r="S22" i="40"/>
  <c r="T21" i="40"/>
  <c r="S21" i="40"/>
  <c r="T20" i="40"/>
  <c r="S20" i="40"/>
  <c r="T19" i="40"/>
  <c r="S19" i="40"/>
  <c r="T18" i="40"/>
  <c r="S18" i="40"/>
  <c r="T17" i="40"/>
  <c r="S17" i="40"/>
  <c r="T16" i="40"/>
  <c r="S16" i="40"/>
  <c r="T15" i="40"/>
  <c r="S15" i="40"/>
  <c r="T14" i="40"/>
  <c r="S14" i="40"/>
  <c r="T13" i="40"/>
  <c r="S13" i="40"/>
  <c r="T12" i="40"/>
  <c r="S12" i="40"/>
  <c r="T11" i="40"/>
  <c r="S11" i="40"/>
  <c r="T10" i="40"/>
  <c r="S10" i="40"/>
  <c r="T9" i="40"/>
  <c r="S9" i="40"/>
  <c r="T8" i="40"/>
  <c r="S8" i="40"/>
  <c r="T7" i="40"/>
  <c r="S7" i="40"/>
  <c r="T6" i="40"/>
  <c r="S6" i="40"/>
  <c r="T5" i="40"/>
  <c r="S5" i="40"/>
  <c r="T4" i="40"/>
  <c r="S4" i="40"/>
  <c r="T3" i="40"/>
  <c r="S3" i="40"/>
  <c r="T2" i="40"/>
  <c r="S2" i="40"/>
  <c r="Q1" i="40"/>
  <c r="P1" i="40"/>
  <c r="AH388" i="2" l="1"/>
  <c r="AH387" i="2"/>
  <c r="AH386" i="2"/>
  <c r="AH385" i="2"/>
  <c r="AH384" i="2"/>
  <c r="AH383" i="2"/>
  <c r="AH382" i="2"/>
  <c r="AH381" i="2"/>
  <c r="AH369" i="2"/>
  <c r="AH340" i="2"/>
  <c r="AH335" i="2"/>
  <c r="AH327" i="2"/>
  <c r="AH326" i="2"/>
  <c r="AH325" i="2"/>
  <c r="AH324" i="2"/>
  <c r="AH173" i="2"/>
  <c r="AH169" i="2"/>
  <c r="AH165" i="2"/>
  <c r="AH131" i="2"/>
  <c r="AH66" i="2"/>
  <c r="AH65" i="2"/>
  <c r="AH64" i="2"/>
  <c r="AH43" i="2"/>
  <c r="AH16" i="2"/>
  <c r="AG388" i="2"/>
  <c r="AG387" i="2"/>
  <c r="AG386" i="2"/>
  <c r="AG385" i="2"/>
  <c r="AG384" i="2"/>
  <c r="AG383" i="2"/>
  <c r="AG382" i="2"/>
  <c r="AG381" i="2"/>
  <c r="AG369" i="2"/>
  <c r="AG340" i="2"/>
  <c r="AG335" i="2"/>
  <c r="AG327" i="2"/>
  <c r="AG326" i="2"/>
  <c r="AG325" i="2"/>
  <c r="AG324" i="2"/>
  <c r="AG173" i="2"/>
  <c r="AG169" i="2"/>
  <c r="AG165" i="2"/>
  <c r="AG131" i="2"/>
  <c r="AG66" i="2"/>
  <c r="AG65" i="2"/>
  <c r="AG64" i="2"/>
  <c r="AG43" i="2"/>
  <c r="AF388" i="2"/>
  <c r="AF387" i="2"/>
  <c r="AF386" i="2"/>
  <c r="AF385" i="2"/>
  <c r="AF384" i="2"/>
  <c r="AF383" i="2"/>
  <c r="AF382" i="2"/>
  <c r="AF381" i="2"/>
  <c r="AF369" i="2"/>
  <c r="AF340" i="2"/>
  <c r="AF335" i="2"/>
  <c r="AF327" i="2"/>
  <c r="AF326" i="2"/>
  <c r="AF325" i="2"/>
  <c r="AF324" i="2"/>
  <c r="AF173" i="2"/>
  <c r="AF169" i="2"/>
  <c r="AF165" i="2"/>
  <c r="AF131" i="2"/>
  <c r="AF66" i="2"/>
  <c r="AF65" i="2"/>
  <c r="AF64" i="2"/>
  <c r="AF43" i="2"/>
  <c r="AE388" i="2"/>
  <c r="AE387" i="2"/>
  <c r="AE386" i="2"/>
  <c r="AE385" i="2"/>
  <c r="AE384" i="2"/>
  <c r="AE383" i="2"/>
  <c r="AE382" i="2"/>
  <c r="AE381" i="2"/>
  <c r="AE369" i="2"/>
  <c r="AE340" i="2"/>
  <c r="AE335" i="2"/>
  <c r="AE327" i="2"/>
  <c r="AE326" i="2"/>
  <c r="AE325" i="2"/>
  <c r="AE324" i="2"/>
  <c r="AE317" i="2"/>
  <c r="AE315" i="2"/>
  <c r="AE306" i="2"/>
  <c r="AE173" i="2"/>
  <c r="AE169" i="2"/>
  <c r="AE165" i="2"/>
  <c r="AE131" i="2"/>
  <c r="AE66" i="2"/>
  <c r="AE65" i="2"/>
  <c r="AE64" i="2"/>
  <c r="AE43" i="2"/>
  <c r="AD388" i="2"/>
  <c r="AD387" i="2"/>
  <c r="AD386" i="2"/>
  <c r="AD385" i="2"/>
  <c r="AD384" i="2"/>
  <c r="AD383" i="2"/>
  <c r="AD382" i="2"/>
  <c r="AD381" i="2"/>
  <c r="AD369" i="2"/>
  <c r="AD340" i="2"/>
  <c r="AD335" i="2"/>
  <c r="AD327" i="2"/>
  <c r="AD326" i="2"/>
  <c r="AD325" i="2"/>
  <c r="AD324" i="2"/>
  <c r="AD317" i="2"/>
  <c r="AD315" i="2"/>
  <c r="AD181" i="2"/>
  <c r="AD173" i="2"/>
  <c r="AD169" i="2"/>
  <c r="AD165" i="2"/>
  <c r="AD131" i="2"/>
  <c r="AD66" i="2"/>
  <c r="AD65" i="2"/>
  <c r="AD64" i="2"/>
  <c r="AD43" i="2"/>
  <c r="L94" i="25"/>
  <c r="L93" i="25"/>
  <c r="L71" i="25"/>
  <c r="L70" i="25"/>
  <c r="L69" i="25"/>
  <c r="L68" i="25"/>
  <c r="L67" i="25"/>
  <c r="L66" i="25"/>
  <c r="L65" i="25"/>
  <c r="L64" i="25"/>
  <c r="L52" i="25"/>
  <c r="L45" i="25"/>
  <c r="L44" i="25"/>
  <c r="L43" i="25"/>
  <c r="L42" i="25"/>
  <c r="L41" i="25"/>
  <c r="L25" i="25"/>
  <c r="L24" i="25"/>
  <c r="L23" i="25"/>
  <c r="L14" i="25"/>
  <c r="K94" i="25"/>
  <c r="K93" i="25"/>
  <c r="K71" i="25"/>
  <c r="K70" i="25"/>
  <c r="K69" i="25"/>
  <c r="K68" i="25"/>
  <c r="K67" i="25"/>
  <c r="K66" i="25"/>
  <c r="K65" i="25"/>
  <c r="K64" i="25"/>
  <c r="K52" i="25"/>
  <c r="K45" i="25"/>
  <c r="K44" i="25"/>
  <c r="K43" i="25"/>
  <c r="K42" i="25"/>
  <c r="K41" i="25"/>
  <c r="K25" i="25"/>
  <c r="K23" i="25"/>
  <c r="K14" i="25"/>
  <c r="J94" i="25"/>
  <c r="J93" i="25"/>
  <c r="J71" i="25"/>
  <c r="J70" i="25"/>
  <c r="J69" i="25"/>
  <c r="J68" i="25"/>
  <c r="J67" i="25"/>
  <c r="J66" i="25"/>
  <c r="J65" i="25"/>
  <c r="J64" i="25"/>
  <c r="J52" i="25"/>
  <c r="J45" i="25"/>
  <c r="J44" i="25"/>
  <c r="J43" i="25"/>
  <c r="J42" i="25"/>
  <c r="J41" i="25"/>
  <c r="J25" i="25"/>
  <c r="J23" i="25"/>
  <c r="J14" i="25"/>
  <c r="I94" i="25"/>
  <c r="I93" i="25"/>
  <c r="I71" i="25"/>
  <c r="I70" i="25"/>
  <c r="I69" i="25"/>
  <c r="I68" i="25"/>
  <c r="I67" i="25"/>
  <c r="I66" i="25"/>
  <c r="I65" i="25"/>
  <c r="I64" i="25"/>
  <c r="I52" i="25"/>
  <c r="I45" i="25"/>
  <c r="I44" i="25"/>
  <c r="I43" i="25"/>
  <c r="I42" i="25"/>
  <c r="I41" i="25"/>
  <c r="I25" i="25"/>
  <c r="I23" i="25"/>
  <c r="I14" i="25"/>
  <c r="H71" i="25"/>
  <c r="H70" i="25"/>
  <c r="H69" i="25"/>
  <c r="H68" i="25"/>
  <c r="H67" i="25"/>
  <c r="H66" i="25"/>
  <c r="H65" i="25"/>
  <c r="H64" i="25"/>
  <c r="H52" i="25"/>
  <c r="H45" i="25"/>
  <c r="H44" i="25"/>
  <c r="H43" i="25"/>
  <c r="H42" i="25"/>
  <c r="H41" i="25"/>
  <c r="H25" i="25"/>
  <c r="H23" i="25"/>
  <c r="H14" i="25"/>
  <c r="J389" i="2"/>
  <c r="AH389" i="2" s="1"/>
  <c r="J328" i="2"/>
  <c r="AH328" i="2" s="1"/>
  <c r="J267" i="2"/>
  <c r="J224" i="2"/>
  <c r="J170" i="2"/>
  <c r="AH147" i="2"/>
  <c r="J122" i="2"/>
  <c r="J123" i="2" s="1"/>
  <c r="J130" i="2" s="1"/>
  <c r="AH130" i="2" s="1"/>
  <c r="J114" i="2"/>
  <c r="J129" i="2" s="1"/>
  <c r="AH129" i="2" s="1"/>
  <c r="J112" i="2"/>
  <c r="J58" i="2"/>
  <c r="L13" i="25" s="1"/>
  <c r="J50" i="2"/>
  <c r="AH50" i="2" s="1"/>
  <c r="J42" i="2"/>
  <c r="AH42" i="2" s="1"/>
  <c r="J37" i="2"/>
  <c r="AH37" i="2" s="1"/>
  <c r="J27" i="2"/>
  <c r="J21" i="2"/>
  <c r="AH21" i="2" s="1"/>
  <c r="J20" i="2"/>
  <c r="AH20" i="2" s="1"/>
  <c r="J19" i="2"/>
  <c r="AH19" i="2" s="1"/>
  <c r="J18" i="2"/>
  <c r="AH18" i="2" s="1"/>
  <c r="J17" i="2"/>
  <c r="J16" i="2"/>
  <c r="J15" i="2"/>
  <c r="AH15" i="2" s="1"/>
  <c r="U160" i="42"/>
  <c r="U157" i="42"/>
  <c r="U156" i="42"/>
  <c r="U153" i="42"/>
  <c r="U127" i="42"/>
  <c r="U126" i="42"/>
  <c r="U109" i="42"/>
  <c r="U105" i="42"/>
  <c r="U99" i="42"/>
  <c r="U94" i="42"/>
  <c r="U93" i="42"/>
  <c r="U91" i="42"/>
  <c r="U90" i="42"/>
  <c r="U77" i="42"/>
  <c r="U76" i="42"/>
  <c r="U78" i="42" s="1"/>
  <c r="U75" i="42"/>
  <c r="U74" i="42"/>
  <c r="U69" i="42"/>
  <c r="U68" i="42"/>
  <c r="U67" i="42"/>
  <c r="U70" i="42" s="1"/>
  <c r="U71" i="42" s="1"/>
  <c r="U66" i="42"/>
  <c r="U65" i="42"/>
  <c r="U64" i="42"/>
  <c r="U58" i="42"/>
  <c r="U113" i="42" s="1"/>
  <c r="U57" i="42"/>
  <c r="U56" i="42"/>
  <c r="U55" i="42"/>
  <c r="U53" i="42"/>
  <c r="U52" i="42"/>
  <c r="U51" i="42"/>
  <c r="U50" i="42"/>
  <c r="U49" i="42"/>
  <c r="U48" i="42"/>
  <c r="U47" i="42"/>
  <c r="U45" i="42"/>
  <c r="U44" i="42"/>
  <c r="U42" i="42"/>
  <c r="U41" i="42"/>
  <c r="U40" i="42"/>
  <c r="U38" i="42"/>
  <c r="U37" i="42"/>
  <c r="U36" i="42"/>
  <c r="U35" i="42"/>
  <c r="U34" i="42"/>
  <c r="U32" i="42"/>
  <c r="U31" i="42"/>
  <c r="U30" i="42"/>
  <c r="U29" i="42"/>
  <c r="U28" i="42"/>
  <c r="U27" i="42"/>
  <c r="U24" i="42"/>
  <c r="U23" i="42"/>
  <c r="U22" i="42"/>
  <c r="U21" i="42"/>
  <c r="U20" i="42"/>
  <c r="U25" i="42" s="1"/>
  <c r="U17" i="42"/>
  <c r="U16" i="42"/>
  <c r="U15" i="42"/>
  <c r="U14" i="42"/>
  <c r="U82" i="42" s="1"/>
  <c r="U83" i="42" s="1"/>
  <c r="U13" i="42"/>
  <c r="U12" i="42"/>
  <c r="U11" i="42"/>
  <c r="I56" i="45"/>
  <c r="I55" i="45"/>
  <c r="I54" i="45"/>
  <c r="I53" i="45"/>
  <c r="I51" i="45"/>
  <c r="I44" i="45"/>
  <c r="I43" i="45"/>
  <c r="I45" i="45" s="1"/>
  <c r="I42" i="45"/>
  <c r="I40" i="45"/>
  <c r="I34" i="45"/>
  <c r="I33" i="45"/>
  <c r="I32" i="45"/>
  <c r="I31" i="45"/>
  <c r="I29" i="45"/>
  <c r="I22" i="45"/>
  <c r="I21" i="45"/>
  <c r="I23" i="45" s="1"/>
  <c r="I20" i="45"/>
  <c r="I18" i="45"/>
  <c r="I14" i="45"/>
  <c r="I25" i="45" s="1"/>
  <c r="I36" i="45" s="1"/>
  <c r="I47" i="45" s="1"/>
  <c r="M212" i="30"/>
  <c r="M215" i="30" s="1"/>
  <c r="M208" i="30"/>
  <c r="M207" i="30"/>
  <c r="M206" i="30"/>
  <c r="M191" i="30"/>
  <c r="M189" i="30"/>
  <c r="M177" i="30"/>
  <c r="M176" i="30"/>
  <c r="M169" i="30"/>
  <c r="M168" i="30"/>
  <c r="M154" i="30"/>
  <c r="M162" i="30" s="1"/>
  <c r="M145" i="30"/>
  <c r="M143" i="30"/>
  <c r="M141" i="30"/>
  <c r="M131" i="30"/>
  <c r="M90" i="30" s="1"/>
  <c r="M127" i="30"/>
  <c r="M124" i="30"/>
  <c r="M112" i="30"/>
  <c r="M109" i="30"/>
  <c r="M108" i="30"/>
  <c r="M149" i="30" s="1"/>
  <c r="M158" i="30" s="1"/>
  <c r="M174" i="30" s="1"/>
  <c r="M107" i="30"/>
  <c r="M99" i="30"/>
  <c r="M98" i="30"/>
  <c r="M100" i="30" s="1"/>
  <c r="M96" i="30"/>
  <c r="M95" i="30"/>
  <c r="M94" i="30"/>
  <c r="M82" i="30"/>
  <c r="M80" i="30"/>
  <c r="M73" i="30"/>
  <c r="M72" i="30"/>
  <c r="M74" i="30" s="1"/>
  <c r="M70" i="30"/>
  <c r="M69" i="30"/>
  <c r="M68" i="30"/>
  <c r="M54" i="30"/>
  <c r="M50" i="30"/>
  <c r="M46" i="30"/>
  <c r="M42" i="30"/>
  <c r="M37" i="30"/>
  <c r="M86" i="30" s="1"/>
  <c r="M35" i="30"/>
  <c r="M34" i="30"/>
  <c r="M33" i="30"/>
  <c r="M32" i="30"/>
  <c r="M38" i="30" s="1"/>
  <c r="M51" i="30" s="1"/>
  <c r="M153" i="30" s="1"/>
  <c r="M190" i="30" s="1"/>
  <c r="M31" i="30"/>
  <c r="M30" i="30"/>
  <c r="M23" i="30"/>
  <c r="M9" i="30"/>
  <c r="M17" i="30" s="1"/>
  <c r="L76" i="25" l="1"/>
  <c r="AH58" i="2"/>
  <c r="AH27" i="2"/>
  <c r="L12" i="25"/>
  <c r="J26" i="2"/>
  <c r="AH26" i="2" s="1"/>
  <c r="AH17" i="2"/>
  <c r="J132" i="2"/>
  <c r="U114" i="42"/>
  <c r="U125" i="42"/>
  <c r="U123" i="42"/>
  <c r="U122" i="42" s="1"/>
  <c r="U124" i="42"/>
  <c r="U46" i="42"/>
  <c r="U115" i="42" s="1"/>
  <c r="U54" i="42"/>
  <c r="U87" i="42" s="1"/>
  <c r="U117" i="42" s="1"/>
  <c r="U72" i="42"/>
  <c r="I58" i="45"/>
  <c r="M135" i="30"/>
  <c r="M120" i="30"/>
  <c r="M118" i="30"/>
  <c r="M133" i="30"/>
  <c r="M84" i="30"/>
  <c r="M89" i="30"/>
  <c r="M116" i="30"/>
  <c r="M192" i="30"/>
  <c r="M193" i="30" s="1"/>
  <c r="M25" i="30" s="1"/>
  <c r="M83" i="30"/>
  <c r="M102" i="30"/>
  <c r="M81" i="30"/>
  <c r="M85" i="30"/>
  <c r="C362" i="20"/>
  <c r="J111" i="2" l="1"/>
  <c r="J376" i="2"/>
  <c r="AH376" i="2" s="1"/>
  <c r="J36" i="2"/>
  <c r="J41" i="2" s="1"/>
  <c r="J140" i="2"/>
  <c r="J128" i="2" s="1"/>
  <c r="AH128" i="2" s="1"/>
  <c r="AH132" i="2"/>
  <c r="L18" i="25"/>
  <c r="AH140" i="2"/>
  <c r="J172" i="2"/>
  <c r="AH172" i="2" s="1"/>
  <c r="J57" i="2"/>
  <c r="AH57" i="2" s="1"/>
  <c r="J380" i="2"/>
  <c r="AH380" i="2" s="1"/>
  <c r="J63" i="2"/>
  <c r="AH63" i="2" s="1"/>
  <c r="J392" i="2"/>
  <c r="J84" i="2"/>
  <c r="AH84" i="2" s="1"/>
  <c r="J75" i="2"/>
  <c r="AH75" i="2" s="1"/>
  <c r="J180" i="2"/>
  <c r="J121" i="2"/>
  <c r="J94" i="2"/>
  <c r="AH94" i="2" s="1"/>
  <c r="J323" i="2"/>
  <c r="J99" i="2"/>
  <c r="AH99" i="2" s="1"/>
  <c r="U81" i="42"/>
  <c r="U84" i="42" s="1"/>
  <c r="U86" i="42" s="1"/>
  <c r="U85" i="42" s="1"/>
  <c r="U59" i="42"/>
  <c r="U108" i="42" s="1"/>
  <c r="U88" i="42"/>
  <c r="U146" i="42" s="1"/>
  <c r="U148" i="42" s="1"/>
  <c r="U145" i="42" s="1"/>
  <c r="U161" i="42" s="1"/>
  <c r="I60" i="45"/>
  <c r="I61" i="45" s="1"/>
  <c r="M136" i="30"/>
  <c r="M121" i="30"/>
  <c r="M7" i="30"/>
  <c r="M87" i="30"/>
  <c r="M64" i="30"/>
  <c r="M59" i="30"/>
  <c r="M55" i="30"/>
  <c r="M63" i="30"/>
  <c r="M58" i="30"/>
  <c r="M76" i="30"/>
  <c r="M57" i="30"/>
  <c r="M60" i="30"/>
  <c r="M56" i="30"/>
  <c r="M8" i="30"/>
  <c r="M16" i="30" s="1"/>
  <c r="M137" i="30"/>
  <c r="M92" i="30"/>
  <c r="M101" i="30" s="1"/>
  <c r="M152" i="30" s="1"/>
  <c r="M91" i="30"/>
  <c r="AH36" i="2" l="1"/>
  <c r="J164" i="2"/>
  <c r="J185" i="2"/>
  <c r="AH185" i="2" s="1"/>
  <c r="AH180" i="2"/>
  <c r="J334" i="2"/>
  <c r="AH323" i="2"/>
  <c r="J49" i="2"/>
  <c r="AH49" i="2" s="1"/>
  <c r="AH41" i="2"/>
  <c r="J44" i="2"/>
  <c r="J395" i="2"/>
  <c r="AH392" i="2"/>
  <c r="J193" i="2"/>
  <c r="U63" i="42"/>
  <c r="U106" i="42"/>
  <c r="U116" i="42"/>
  <c r="U150" i="42"/>
  <c r="U162" i="42" s="1"/>
  <c r="U151" i="42"/>
  <c r="U163" i="42" s="1"/>
  <c r="U111" i="42"/>
  <c r="U112" i="42" s="1"/>
  <c r="U107" i="42" s="1"/>
  <c r="M15" i="30"/>
  <c r="M10" i="30"/>
  <c r="M19" i="30" s="1"/>
  <c r="M66" i="30"/>
  <c r="M65" i="30"/>
  <c r="M151" i="30" s="1"/>
  <c r="M61" i="30"/>
  <c r="M146" i="30"/>
  <c r="M147" i="30" s="1"/>
  <c r="M138" i="30"/>
  <c r="F289" i="2"/>
  <c r="AD289" i="2" s="1"/>
  <c r="F291" i="2"/>
  <c r="AD291" i="2" s="1"/>
  <c r="F255" i="2"/>
  <c r="F244" i="2"/>
  <c r="L77" i="25" l="1"/>
  <c r="AH44" i="2"/>
  <c r="J339" i="2"/>
  <c r="AH339" i="2" s="1"/>
  <c r="AH334" i="2"/>
  <c r="J219" i="2"/>
  <c r="J240" i="2" s="1"/>
  <c r="J253" i="2" s="1"/>
  <c r="J263" i="2" s="1"/>
  <c r="J271" i="2" s="1"/>
  <c r="AH202" i="2"/>
  <c r="J168" i="2"/>
  <c r="AH168" i="2" s="1"/>
  <c r="AH164" i="2"/>
  <c r="U144" i="42"/>
  <c r="U142" i="42"/>
  <c r="U141" i="42"/>
  <c r="U137" i="42"/>
  <c r="U133" i="42"/>
  <c r="U121" i="42"/>
  <c r="U140" i="42"/>
  <c r="U136" i="42"/>
  <c r="U134" i="42"/>
  <c r="U119" i="42"/>
  <c r="U120" i="42"/>
  <c r="U143" i="42"/>
  <c r="U135" i="42"/>
  <c r="U132" i="42"/>
  <c r="U139" i="42"/>
  <c r="U138" i="42" s="1"/>
  <c r="M75" i="30"/>
  <c r="M150" i="30"/>
  <c r="H185" i="30"/>
  <c r="H184" i="30"/>
  <c r="J284" i="2" l="1"/>
  <c r="AH271" i="2"/>
  <c r="U131" i="42"/>
  <c r="U118" i="42"/>
  <c r="U152" i="42" s="1"/>
  <c r="M155" i="30"/>
  <c r="M159" i="30"/>
  <c r="M161" i="30"/>
  <c r="M185" i="30" s="1"/>
  <c r="M160" i="30"/>
  <c r="M184" i="30" s="1"/>
  <c r="H190" i="30"/>
  <c r="H178" i="30"/>
  <c r="J303" i="2" l="1"/>
  <c r="AH284" i="2"/>
  <c r="U167" i="42"/>
  <c r="U154" i="42"/>
  <c r="U164" i="42" s="1"/>
  <c r="M183" i="30"/>
  <c r="M186" i="30" s="1"/>
  <c r="M26" i="30" s="1"/>
  <c r="M163" i="30"/>
  <c r="M178" i="30" s="1"/>
  <c r="M156" i="30"/>
  <c r="M195" i="30"/>
  <c r="H179" i="30"/>
  <c r="J313" i="2" l="1"/>
  <c r="AH303" i="2"/>
  <c r="U155" i="42"/>
  <c r="M179" i="30"/>
  <c r="M180" i="30"/>
  <c r="M165" i="30"/>
  <c r="M166" i="30" s="1"/>
  <c r="H143" i="30"/>
  <c r="J350" i="2" l="1"/>
  <c r="AH313" i="2"/>
  <c r="M24" i="30"/>
  <c r="M194" i="30"/>
  <c r="M196" i="30" s="1"/>
  <c r="G73" i="2"/>
  <c r="H73" i="2" s="1"/>
  <c r="I73" i="2" s="1"/>
  <c r="J73" i="2" s="1"/>
  <c r="J362" i="2" l="1"/>
  <c r="AH350" i="2"/>
  <c r="H132" i="30"/>
  <c r="D20" i="49"/>
  <c r="E20" i="49"/>
  <c r="F20" i="49"/>
  <c r="G20" i="49"/>
  <c r="H20" i="49"/>
  <c r="I20" i="49"/>
  <c r="J20" i="49"/>
  <c r="K20" i="49"/>
  <c r="L20" i="49"/>
  <c r="M20" i="49"/>
  <c r="N20" i="49"/>
  <c r="O20" i="49"/>
  <c r="P20" i="49"/>
  <c r="Q20" i="49"/>
  <c r="R20" i="49"/>
  <c r="S20" i="49"/>
  <c r="T20" i="49"/>
  <c r="C20" i="49"/>
  <c r="C16" i="49"/>
  <c r="D1" i="49"/>
  <c r="D3" i="49" s="1"/>
  <c r="C3" i="49"/>
  <c r="J368" i="2" l="1"/>
  <c r="AH368" i="2" s="1"/>
  <c r="AH362" i="2"/>
  <c r="D13" i="49"/>
  <c r="E1" i="49"/>
  <c r="F1" i="49" s="1"/>
  <c r="G1" i="49" s="1"/>
  <c r="H1" i="49" s="1"/>
  <c r="E3" i="49"/>
  <c r="F3" i="49"/>
  <c r="D7" i="49"/>
  <c r="E7" i="49" s="1"/>
  <c r="D10" i="49"/>
  <c r="D11" i="49"/>
  <c r="D6" i="49"/>
  <c r="D14" i="49"/>
  <c r="E14" i="49"/>
  <c r="D12" i="49"/>
  <c r="D4" i="49"/>
  <c r="D8" i="49"/>
  <c r="D5" i="49"/>
  <c r="D9" i="49"/>
  <c r="I1" i="49" l="1"/>
  <c r="I3" i="49" s="1"/>
  <c r="H3" i="49"/>
  <c r="E9" i="49"/>
  <c r="E11" i="49"/>
  <c r="G3" i="49"/>
  <c r="J1" i="49"/>
  <c r="E6" i="49"/>
  <c r="F6" i="49" s="1"/>
  <c r="E5" i="49"/>
  <c r="F5" i="49" s="1"/>
  <c r="E12" i="49"/>
  <c r="E10" i="49"/>
  <c r="F10" i="49" s="1"/>
  <c r="E8" i="49"/>
  <c r="F8" i="49" s="1"/>
  <c r="E13" i="49"/>
  <c r="D16" i="49"/>
  <c r="F12" i="49"/>
  <c r="F11" i="49"/>
  <c r="F7" i="49"/>
  <c r="F14" i="49"/>
  <c r="F13" i="49"/>
  <c r="E4" i="49"/>
  <c r="F9" i="49"/>
  <c r="F142" i="2" l="1"/>
  <c r="AD142" i="2" s="1"/>
  <c r="D18" i="49"/>
  <c r="K1" i="49"/>
  <c r="J3" i="49"/>
  <c r="E16" i="49"/>
  <c r="G8" i="49"/>
  <c r="H8" i="49" s="1"/>
  <c r="G9" i="49"/>
  <c r="G13" i="49"/>
  <c r="G12" i="49"/>
  <c r="G11" i="49"/>
  <c r="G14" i="49"/>
  <c r="G10" i="49"/>
  <c r="F4" i="49"/>
  <c r="F16" i="49" s="1"/>
  <c r="G6" i="49"/>
  <c r="G7" i="49"/>
  <c r="H7" i="49" s="1"/>
  <c r="G5" i="49"/>
  <c r="H5" i="49" s="1"/>
  <c r="H142" i="2" l="1"/>
  <c r="AF142" i="2" s="1"/>
  <c r="F18" i="49"/>
  <c r="G142" i="2"/>
  <c r="AE142" i="2" s="1"/>
  <c r="E18" i="49"/>
  <c r="L1" i="49"/>
  <c r="K3" i="49"/>
  <c r="H6" i="49"/>
  <c r="G4" i="49"/>
  <c r="H10" i="49"/>
  <c r="H14" i="49"/>
  <c r="H9" i="49"/>
  <c r="H13" i="49"/>
  <c r="H12" i="49"/>
  <c r="H11" i="49"/>
  <c r="M1" i="49" l="1"/>
  <c r="L3" i="49"/>
  <c r="I11" i="49"/>
  <c r="I10" i="49"/>
  <c r="I14" i="49"/>
  <c r="I9" i="49"/>
  <c r="I13" i="49"/>
  <c r="I12" i="49"/>
  <c r="I6" i="49"/>
  <c r="I8" i="49"/>
  <c r="H4" i="49"/>
  <c r="G16" i="49"/>
  <c r="I7" i="49"/>
  <c r="I5" i="49"/>
  <c r="J5" i="49" s="1"/>
  <c r="I142" i="2" l="1"/>
  <c r="AG142" i="2" s="1"/>
  <c r="G18" i="49"/>
  <c r="M3" i="49"/>
  <c r="N1" i="49"/>
  <c r="J7" i="49"/>
  <c r="J6" i="49"/>
  <c r="K6" i="49" s="1"/>
  <c r="I4" i="49"/>
  <c r="H16" i="49"/>
  <c r="J12" i="49"/>
  <c r="J8" i="49"/>
  <c r="J11" i="49"/>
  <c r="J10" i="49"/>
  <c r="J14" i="49"/>
  <c r="J13" i="49"/>
  <c r="J9" i="49"/>
  <c r="H18" i="49" l="1"/>
  <c r="J142" i="2"/>
  <c r="AH142" i="2" s="1"/>
  <c r="O1" i="49"/>
  <c r="N3" i="49"/>
  <c r="K5" i="49"/>
  <c r="K9" i="49"/>
  <c r="K13" i="49"/>
  <c r="K12" i="49"/>
  <c r="K8" i="49"/>
  <c r="K11" i="49"/>
  <c r="K14" i="49"/>
  <c r="K10" i="49"/>
  <c r="J4" i="49"/>
  <c r="I16" i="49"/>
  <c r="I18" i="49" s="1"/>
  <c r="K7" i="49"/>
  <c r="P1" i="49" l="1"/>
  <c r="O3" i="49"/>
  <c r="K4" i="49"/>
  <c r="J16" i="49"/>
  <c r="J18" i="49" s="1"/>
  <c r="L10" i="49"/>
  <c r="L14" i="49"/>
  <c r="L9" i="49"/>
  <c r="L13" i="49"/>
  <c r="L12" i="49"/>
  <c r="L8" i="49"/>
  <c r="L11" i="49"/>
  <c r="L7" i="49"/>
  <c r="L5" i="49"/>
  <c r="L6" i="49"/>
  <c r="Q1" i="49" l="1"/>
  <c r="P3" i="49"/>
  <c r="M5" i="49"/>
  <c r="M8" i="49"/>
  <c r="M11" i="49"/>
  <c r="M10" i="49"/>
  <c r="M14" i="49"/>
  <c r="M9" i="49"/>
  <c r="M13" i="49"/>
  <c r="M7" i="49"/>
  <c r="M12" i="49"/>
  <c r="N5" i="49"/>
  <c r="M6" i="49"/>
  <c r="L4" i="49"/>
  <c r="K16" i="49"/>
  <c r="K18" i="49" s="1"/>
  <c r="Q3" i="49" l="1"/>
  <c r="R1" i="49"/>
  <c r="N6" i="49"/>
  <c r="M4" i="49"/>
  <c r="L16" i="49"/>
  <c r="L18" i="49" s="1"/>
  <c r="N7" i="49"/>
  <c r="N12" i="49"/>
  <c r="N8" i="49"/>
  <c r="N11" i="49"/>
  <c r="N10" i="49"/>
  <c r="N14" i="49"/>
  <c r="N9" i="49"/>
  <c r="N13" i="49"/>
  <c r="S1" i="49" l="1"/>
  <c r="R3" i="49"/>
  <c r="N4" i="49"/>
  <c r="M16" i="49"/>
  <c r="M18" i="49" s="1"/>
  <c r="O9" i="49"/>
  <c r="O13" i="49"/>
  <c r="O7" i="49"/>
  <c r="O12" i="49"/>
  <c r="O8" i="49"/>
  <c r="O11" i="49"/>
  <c r="O10" i="49"/>
  <c r="O14" i="49"/>
  <c r="O5" i="49"/>
  <c r="O6" i="49"/>
  <c r="T1" i="49" l="1"/>
  <c r="T3" i="49" s="1"/>
  <c r="S3" i="49"/>
  <c r="P5" i="49"/>
  <c r="P10" i="49"/>
  <c r="P14" i="49"/>
  <c r="P6" i="49"/>
  <c r="P9" i="49"/>
  <c r="P13" i="49"/>
  <c r="P7" i="49"/>
  <c r="P12" i="49"/>
  <c r="P11" i="49"/>
  <c r="P8" i="49"/>
  <c r="O4" i="49"/>
  <c r="N16" i="49"/>
  <c r="N18" i="49" s="1"/>
  <c r="Q8" i="49" l="1"/>
  <c r="Q11" i="49"/>
  <c r="Q10" i="49"/>
  <c r="Q14" i="49"/>
  <c r="Q9" i="49"/>
  <c r="Q13" i="49"/>
  <c r="Q6" i="49"/>
  <c r="Q7" i="49"/>
  <c r="Q12" i="49"/>
  <c r="P4" i="49"/>
  <c r="O16" i="49"/>
  <c r="O18" i="49" s="1"/>
  <c r="Q5" i="49"/>
  <c r="R7" i="49" l="1"/>
  <c r="R12" i="49"/>
  <c r="R8" i="49"/>
  <c r="R11" i="49"/>
  <c r="R5" i="49"/>
  <c r="R10" i="49"/>
  <c r="R14" i="49"/>
  <c r="R6" i="49"/>
  <c r="R13" i="49"/>
  <c r="R9" i="49"/>
  <c r="Q4" i="49"/>
  <c r="P16" i="49"/>
  <c r="P18" i="49" s="1"/>
  <c r="S6" i="49" l="1"/>
  <c r="S9" i="49"/>
  <c r="S13" i="49"/>
  <c r="S7" i="49"/>
  <c r="S12" i="49"/>
  <c r="S8" i="49"/>
  <c r="S11" i="49"/>
  <c r="S5" i="49"/>
  <c r="S14" i="49"/>
  <c r="S10" i="49"/>
  <c r="R4" i="49"/>
  <c r="Q16" i="49"/>
  <c r="Q18" i="49" s="1"/>
  <c r="T7" i="49" l="1"/>
  <c r="T11" i="49"/>
  <c r="T4" i="49"/>
  <c r="T8" i="49"/>
  <c r="T12" i="49"/>
  <c r="T6" i="49"/>
  <c r="T10" i="49"/>
  <c r="T14" i="49"/>
  <c r="T5" i="49"/>
  <c r="T9" i="49"/>
  <c r="T13" i="49"/>
  <c r="S4" i="49"/>
  <c r="S16" i="49" s="1"/>
  <c r="R16" i="49"/>
  <c r="R18" i="49" s="1"/>
  <c r="S18" i="49" l="1"/>
  <c r="T16" i="49"/>
  <c r="T18" i="49" s="1"/>
  <c r="P206" i="30" l="1"/>
  <c r="P205" i="30"/>
  <c r="P201" i="30"/>
  <c r="P200" i="30"/>
  <c r="P199" i="30"/>
  <c r="P169" i="30"/>
  <c r="P168" i="30"/>
  <c r="P144" i="30"/>
  <c r="P143" i="30"/>
  <c r="P142" i="30"/>
  <c r="P132" i="30"/>
  <c r="P131" i="30"/>
  <c r="P129" i="30"/>
  <c r="P128" i="30"/>
  <c r="P116" i="30"/>
  <c r="P114" i="30"/>
  <c r="P113" i="30"/>
  <c r="P86" i="30"/>
  <c r="P85" i="30"/>
  <c r="P84" i="30"/>
  <c r="P83" i="30"/>
  <c r="P82" i="30"/>
  <c r="P81" i="30"/>
  <c r="P60" i="30"/>
  <c r="P59" i="30"/>
  <c r="P58" i="30"/>
  <c r="P57" i="30"/>
  <c r="P56" i="30"/>
  <c r="P55" i="30"/>
  <c r="H127" i="30" l="1"/>
  <c r="P127" i="30" s="1"/>
  <c r="H117" i="30"/>
  <c r="P117" i="30" s="1"/>
  <c r="H112" i="30"/>
  <c r="P112" i="30" s="1"/>
  <c r="L102" i="25"/>
  <c r="K102" i="25"/>
  <c r="J102" i="25"/>
  <c r="I102" i="25"/>
  <c r="H102" i="25"/>
  <c r="E102" i="25"/>
  <c r="D102" i="25"/>
  <c r="G101" i="25"/>
  <c r="G100" i="25"/>
  <c r="G99" i="25"/>
  <c r="G98" i="25"/>
  <c r="G97" i="25"/>
  <c r="E23" i="30"/>
  <c r="E31" i="30"/>
  <c r="E38" i="30" s="1"/>
  <c r="E42" i="30"/>
  <c r="E46" i="30"/>
  <c r="E50" i="30"/>
  <c r="E54" i="30"/>
  <c r="E66" i="30" s="1"/>
  <c r="E65" i="30"/>
  <c r="E68" i="30"/>
  <c r="E69" i="30"/>
  <c r="E72" i="30"/>
  <c r="E73" i="30"/>
  <c r="E80" i="30"/>
  <c r="E92" i="30" s="1"/>
  <c r="E91" i="30"/>
  <c r="E94" i="30"/>
  <c r="E95" i="30"/>
  <c r="E112" i="30"/>
  <c r="E117" i="30"/>
  <c r="E125" i="30"/>
  <c r="E127" i="30"/>
  <c r="E132" i="30"/>
  <c r="E141" i="30"/>
  <c r="E145" i="30" s="1"/>
  <c r="E9" i="30" s="1"/>
  <c r="E154" i="30"/>
  <c r="E162" i="30" s="1"/>
  <c r="E176" i="30"/>
  <c r="E177" i="30"/>
  <c r="E178" i="30"/>
  <c r="E179" i="30"/>
  <c r="E183" i="30"/>
  <c r="E184" i="30"/>
  <c r="E185" i="30"/>
  <c r="E189" i="30"/>
  <c r="E202" i="30"/>
  <c r="E207" i="30"/>
  <c r="E208" i="30"/>
  <c r="E215" i="30"/>
  <c r="E220" i="30"/>
  <c r="E133" i="30" l="1"/>
  <c r="E192" i="30"/>
  <c r="E186" i="30"/>
  <c r="E26" i="30" s="1"/>
  <c r="E96" i="30"/>
  <c r="G102" i="25"/>
  <c r="E74" i="30"/>
  <c r="E98" i="30" s="1"/>
  <c r="E100" i="30" s="1"/>
  <c r="E118" i="30"/>
  <c r="E87" i="30"/>
  <c r="E70" i="30"/>
  <c r="E61" i="30"/>
  <c r="E51" i="30"/>
  <c r="E153" i="30" s="1"/>
  <c r="E180" i="30"/>
  <c r="E24" i="30" s="1"/>
  <c r="AC140" i="2"/>
  <c r="AC141" i="2"/>
  <c r="AC142" i="2"/>
  <c r="AC143" i="2"/>
  <c r="AC144" i="2"/>
  <c r="AC145" i="2"/>
  <c r="F146" i="2"/>
  <c r="AD146" i="2" s="1"/>
  <c r="AC146" i="2"/>
  <c r="AD147" i="2"/>
  <c r="AE147" i="2"/>
  <c r="AF147" i="2"/>
  <c r="AG147" i="2"/>
  <c r="AC147" i="2"/>
  <c r="AC148" i="2"/>
  <c r="AC149" i="2"/>
  <c r="D150" i="2"/>
  <c r="AC150" i="2"/>
  <c r="D122" i="2"/>
  <c r="D123" i="2" s="1"/>
  <c r="D130" i="2" s="1"/>
  <c r="E122" i="2"/>
  <c r="AC128" i="2"/>
  <c r="AC129" i="2"/>
  <c r="AC130" i="2"/>
  <c r="AC131" i="2"/>
  <c r="AC132" i="2"/>
  <c r="D72" i="2"/>
  <c r="G72" i="2"/>
  <c r="AC75" i="2"/>
  <c r="AC76" i="2"/>
  <c r="D77" i="2"/>
  <c r="D76" i="2" s="1"/>
  <c r="F77" i="2"/>
  <c r="AC77" i="2"/>
  <c r="AC78" i="2"/>
  <c r="AC79" i="2"/>
  <c r="D80" i="2"/>
  <c r="AC80" i="2"/>
  <c r="AC84" i="2"/>
  <c r="AD85" i="2"/>
  <c r="AC85" i="2"/>
  <c r="D89" i="2"/>
  <c r="AC89" i="2"/>
  <c r="AC94" i="2"/>
  <c r="AC95" i="2"/>
  <c r="AC99" i="2"/>
  <c r="AC100" i="2"/>
  <c r="AC101" i="2"/>
  <c r="AC102" i="2"/>
  <c r="AC103" i="2"/>
  <c r="G141" i="2" l="1"/>
  <c r="AE141" i="2" s="1"/>
  <c r="AD141" i="2"/>
  <c r="G77" i="2"/>
  <c r="AE77" i="2" s="1"/>
  <c r="AD77" i="2"/>
  <c r="E89" i="2"/>
  <c r="E123" i="2"/>
  <c r="E101" i="30"/>
  <c r="E75" i="30"/>
  <c r="D151" i="2"/>
  <c r="D101" i="2"/>
  <c r="D90" i="2"/>
  <c r="D100" i="2"/>
  <c r="D81" i="2"/>
  <c r="D95" i="2"/>
  <c r="E95" i="2" s="1"/>
  <c r="D82" i="2"/>
  <c r="F143" i="2"/>
  <c r="AD148" i="2"/>
  <c r="F144" i="2"/>
  <c r="AD144" i="2" s="1"/>
  <c r="F79" i="2"/>
  <c r="AD79" i="2" s="1"/>
  <c r="G79" i="2"/>
  <c r="AE79" i="2" s="1"/>
  <c r="H72" i="2"/>
  <c r="G146" i="2"/>
  <c r="AE146" i="2" s="1"/>
  <c r="K90" i="41"/>
  <c r="J90" i="41"/>
  <c r="I90" i="41"/>
  <c r="H90" i="41"/>
  <c r="G90" i="41"/>
  <c r="E90" i="41"/>
  <c r="D90" i="41"/>
  <c r="C90" i="41"/>
  <c r="E86" i="41"/>
  <c r="D86" i="41"/>
  <c r="C86" i="41"/>
  <c r="J85" i="41"/>
  <c r="I85" i="41"/>
  <c r="H85" i="41"/>
  <c r="G85" i="41"/>
  <c r="E85" i="41"/>
  <c r="D85" i="41"/>
  <c r="C85" i="41"/>
  <c r="E80" i="41"/>
  <c r="D80" i="41"/>
  <c r="C80" i="41"/>
  <c r="E78" i="41"/>
  <c r="D78" i="41"/>
  <c r="C78" i="41"/>
  <c r="E77" i="41"/>
  <c r="D77" i="41"/>
  <c r="C77" i="41"/>
  <c r="E71" i="41"/>
  <c r="D71" i="41"/>
  <c r="C71" i="41"/>
  <c r="E70" i="41"/>
  <c r="D70" i="41"/>
  <c r="C70" i="41"/>
  <c r="E69" i="41"/>
  <c r="D69" i="41"/>
  <c r="C69" i="41"/>
  <c r="E68" i="41"/>
  <c r="D68" i="41"/>
  <c r="C68" i="41"/>
  <c r="E67" i="41"/>
  <c r="D67" i="41"/>
  <c r="C67" i="41"/>
  <c r="E66" i="41"/>
  <c r="D66" i="41"/>
  <c r="C66" i="41"/>
  <c r="E65" i="41"/>
  <c r="D65" i="41"/>
  <c r="C65" i="41"/>
  <c r="E64" i="41"/>
  <c r="D64" i="41"/>
  <c r="C64" i="41"/>
  <c r="K39" i="41"/>
  <c r="J39" i="41"/>
  <c r="I39" i="41"/>
  <c r="H39" i="41"/>
  <c r="G39" i="41"/>
  <c r="K38" i="41"/>
  <c r="J38" i="41"/>
  <c r="I38" i="41"/>
  <c r="H38" i="41"/>
  <c r="G38" i="41"/>
  <c r="K36" i="41"/>
  <c r="J36" i="41"/>
  <c r="I36" i="41"/>
  <c r="H36" i="41"/>
  <c r="G36" i="41"/>
  <c r="A2" i="41"/>
  <c r="A1" i="41"/>
  <c r="F58" i="41"/>
  <c r="E90" i="2" l="1"/>
  <c r="H141" i="2"/>
  <c r="AF141" i="2" s="1"/>
  <c r="H77" i="2"/>
  <c r="AF77" i="2" s="1"/>
  <c r="G143" i="2"/>
  <c r="AD143" i="2"/>
  <c r="E101" i="2"/>
  <c r="F89" i="2"/>
  <c r="AD76" i="2" s="1"/>
  <c r="G145" i="2"/>
  <c r="AE145" i="2" s="1"/>
  <c r="AD145" i="2"/>
  <c r="F95" i="2"/>
  <c r="E130" i="2"/>
  <c r="E102" i="2"/>
  <c r="D102" i="2"/>
  <c r="D103" i="2" s="1"/>
  <c r="D104" i="2" s="1"/>
  <c r="F68" i="41"/>
  <c r="G148" i="2"/>
  <c r="AE148" i="2" s="1"/>
  <c r="E82" i="2"/>
  <c r="I77" i="2"/>
  <c r="H146" i="2"/>
  <c r="AF146" i="2" s="1"/>
  <c r="H79" i="2"/>
  <c r="AF79" i="2" s="1"/>
  <c r="I72" i="2"/>
  <c r="G144" i="2"/>
  <c r="AE144" i="2" s="1"/>
  <c r="F64" i="41"/>
  <c r="C88" i="41"/>
  <c r="D88" i="41" s="1"/>
  <c r="F88" i="41" s="1"/>
  <c r="F65" i="41"/>
  <c r="F66" i="41"/>
  <c r="F67" i="41"/>
  <c r="F69" i="41"/>
  <c r="F70" i="41"/>
  <c r="F71" i="41"/>
  <c r="F77" i="41"/>
  <c r="F78" i="41"/>
  <c r="F80" i="41"/>
  <c r="F90" i="41"/>
  <c r="F85" i="41"/>
  <c r="F86" i="41"/>
  <c r="E179" i="2"/>
  <c r="I141" i="2" l="1"/>
  <c r="J141" i="2" s="1"/>
  <c r="AG141" i="2"/>
  <c r="F90" i="2"/>
  <c r="AD89" i="2"/>
  <c r="AG77" i="2"/>
  <c r="J77" i="2"/>
  <c r="AH77" i="2" s="1"/>
  <c r="G89" i="2"/>
  <c r="F101" i="2"/>
  <c r="I79" i="2"/>
  <c r="AG79" i="2" s="1"/>
  <c r="J72" i="2"/>
  <c r="J79" i="2" s="1"/>
  <c r="H145" i="2"/>
  <c r="AF145" i="2" s="1"/>
  <c r="H143" i="2"/>
  <c r="AE143" i="2"/>
  <c r="F102" i="2"/>
  <c r="AD95" i="2"/>
  <c r="G95" i="2"/>
  <c r="AE95" i="2" s="1"/>
  <c r="H148" i="2"/>
  <c r="AF148" i="2" s="1"/>
  <c r="F78" i="2"/>
  <c r="AD78" i="2" s="1"/>
  <c r="I146" i="2"/>
  <c r="H144" i="2"/>
  <c r="AF144" i="2" s="1"/>
  <c r="E80" i="2"/>
  <c r="E88" i="41"/>
  <c r="I145" i="2" l="1"/>
  <c r="J145" i="2" s="1"/>
  <c r="AH145" i="2" s="1"/>
  <c r="AG146" i="2"/>
  <c r="J146" i="2"/>
  <c r="AH146" i="2" s="1"/>
  <c r="AF143" i="2"/>
  <c r="I143" i="2"/>
  <c r="G90" i="2"/>
  <c r="AE89" i="2"/>
  <c r="G101" i="2"/>
  <c r="AH79" i="2"/>
  <c r="AD101" i="2"/>
  <c r="H16" i="25"/>
  <c r="AH141" i="2"/>
  <c r="H17" i="25"/>
  <c r="AD102" i="2"/>
  <c r="G102" i="2"/>
  <c r="H95" i="2"/>
  <c r="AF95" i="2" s="1"/>
  <c r="E81" i="2"/>
  <c r="H89" i="2"/>
  <c r="I148" i="2"/>
  <c r="E100" i="2"/>
  <c r="I144" i="2"/>
  <c r="F80" i="2"/>
  <c r="AD286" i="2"/>
  <c r="E225" i="2"/>
  <c r="AG145" i="2" l="1"/>
  <c r="G288" i="2"/>
  <c r="AD288" i="2"/>
  <c r="AG144" i="2"/>
  <c r="J144" i="2"/>
  <c r="AH144" i="2" s="1"/>
  <c r="G182" i="2"/>
  <c r="AD182" i="2"/>
  <c r="AG143" i="2"/>
  <c r="J143" i="2"/>
  <c r="AG148" i="2"/>
  <c r="J148" i="2"/>
  <c r="AH148" i="2" s="1"/>
  <c r="F81" i="2"/>
  <c r="AD80" i="2"/>
  <c r="H90" i="2"/>
  <c r="AF89" i="2"/>
  <c r="AE101" i="2"/>
  <c r="I16" i="25"/>
  <c r="I17" i="25"/>
  <c r="AE102" i="2"/>
  <c r="F314" i="2"/>
  <c r="H102" i="2"/>
  <c r="I95" i="2"/>
  <c r="H101" i="2"/>
  <c r="I89" i="2"/>
  <c r="F100" i="2"/>
  <c r="E103" i="2"/>
  <c r="I90" i="2" l="1"/>
  <c r="AG89" i="2"/>
  <c r="J89" i="2"/>
  <c r="G314" i="2"/>
  <c r="AD314" i="2"/>
  <c r="H15" i="25"/>
  <c r="AD100" i="2"/>
  <c r="H182" i="2"/>
  <c r="AE182" i="2"/>
  <c r="AH143" i="2"/>
  <c r="J16" i="25"/>
  <c r="AF101" i="2"/>
  <c r="H288" i="2"/>
  <c r="AE288" i="2"/>
  <c r="J95" i="2"/>
  <c r="AG95" i="2"/>
  <c r="J17" i="25"/>
  <c r="AF102" i="2"/>
  <c r="I102" i="2"/>
  <c r="E104" i="2"/>
  <c r="I101" i="2"/>
  <c r="F103" i="2"/>
  <c r="AD103" i="2" s="1"/>
  <c r="G244" i="2"/>
  <c r="E230" i="2"/>
  <c r="I288" i="2" l="1"/>
  <c r="AF288" i="2"/>
  <c r="AH89" i="2"/>
  <c r="J101" i="2"/>
  <c r="J90" i="2"/>
  <c r="AG101" i="2"/>
  <c r="K16" i="25"/>
  <c r="I182" i="2"/>
  <c r="AF182" i="2"/>
  <c r="H314" i="2"/>
  <c r="AE314" i="2"/>
  <c r="K17" i="25"/>
  <c r="AG102" i="2"/>
  <c r="J102" i="2"/>
  <c r="AH95" i="2"/>
  <c r="F104" i="2"/>
  <c r="F230" i="2"/>
  <c r="E224" i="2"/>
  <c r="E210" i="2"/>
  <c r="AG182" i="2" l="1"/>
  <c r="J182" i="2"/>
  <c r="AH101" i="2"/>
  <c r="L16" i="25"/>
  <c r="I314" i="2"/>
  <c r="AF314" i="2"/>
  <c r="J78" i="2"/>
  <c r="AH76" i="2"/>
  <c r="J288" i="2"/>
  <c r="AH288" i="2" s="1"/>
  <c r="AG288" i="2"/>
  <c r="L17" i="25"/>
  <c r="AH102" i="2"/>
  <c r="E222" i="2"/>
  <c r="E223" i="2"/>
  <c r="G230" i="2"/>
  <c r="G224" i="2" s="1"/>
  <c r="F199" i="2"/>
  <c r="E220" i="2" l="1"/>
  <c r="AH182" i="2"/>
  <c r="AH78" i="2"/>
  <c r="J80" i="2"/>
  <c r="J314" i="2"/>
  <c r="AG314" i="2"/>
  <c r="H230" i="2"/>
  <c r="I230" i="2" s="1"/>
  <c r="J230" i="2" s="1"/>
  <c r="AH80" i="2" l="1"/>
  <c r="J100" i="2"/>
  <c r="AH314" i="2"/>
  <c r="F352" i="2"/>
  <c r="F354" i="2"/>
  <c r="F351" i="2"/>
  <c r="I143" i="30"/>
  <c r="J143" i="30" s="1"/>
  <c r="K143" i="30" s="1"/>
  <c r="L143" i="30" s="1"/>
  <c r="I127" i="30"/>
  <c r="J127" i="30" s="1"/>
  <c r="K127" i="30" s="1"/>
  <c r="L127" i="30" s="1"/>
  <c r="I112" i="30"/>
  <c r="J112" i="30" s="1"/>
  <c r="K112" i="30" s="1"/>
  <c r="L112" i="30" s="1"/>
  <c r="F42" i="2"/>
  <c r="AD42" i="2" s="1"/>
  <c r="E42" i="2"/>
  <c r="A42" i="2"/>
  <c r="I37" i="2"/>
  <c r="H37" i="2"/>
  <c r="G37" i="2"/>
  <c r="F37" i="2"/>
  <c r="E37" i="2"/>
  <c r="I76" i="25" l="1"/>
  <c r="AE37" i="2"/>
  <c r="G354" i="2"/>
  <c r="AD354" i="2"/>
  <c r="AG37" i="2"/>
  <c r="K76" i="25"/>
  <c r="G351" i="2"/>
  <c r="AD351" i="2"/>
  <c r="G352" i="2"/>
  <c r="AD352" i="2"/>
  <c r="AD37" i="2"/>
  <c r="H76" i="25"/>
  <c r="J76" i="25"/>
  <c r="AF37" i="2"/>
  <c r="AH100" i="2"/>
  <c r="L15" i="25"/>
  <c r="J103" i="2"/>
  <c r="AH103" i="2" s="1"/>
  <c r="G86" i="41"/>
  <c r="G88" i="41" s="1"/>
  <c r="N6" i="22"/>
  <c r="L219" i="30" s="1"/>
  <c r="K86" i="41" s="1"/>
  <c r="O6" i="22"/>
  <c r="M219" i="30" s="1"/>
  <c r="J51" i="2" s="1"/>
  <c r="L85" i="25" s="1"/>
  <c r="P6" i="22"/>
  <c r="Q6" i="22"/>
  <c r="M6" i="22"/>
  <c r="K219" i="30" s="1"/>
  <c r="L6" i="22"/>
  <c r="J219" i="30" s="1"/>
  <c r="O11" i="22"/>
  <c r="P11" i="22"/>
  <c r="Q11" i="22"/>
  <c r="AH51" i="2" l="1"/>
  <c r="J52" i="2"/>
  <c r="AH52" i="2" s="1"/>
  <c r="H352" i="2"/>
  <c r="AE352" i="2"/>
  <c r="H351" i="2"/>
  <c r="AE351" i="2"/>
  <c r="H354" i="2"/>
  <c r="AE354" i="2"/>
  <c r="F305" i="2"/>
  <c r="AD305" i="2" s="1"/>
  <c r="I351" i="2" l="1"/>
  <c r="AF351" i="2"/>
  <c r="I354" i="2"/>
  <c r="AF354" i="2"/>
  <c r="I352" i="2"/>
  <c r="AF352" i="2"/>
  <c r="AG354" i="2" l="1"/>
  <c r="J354" i="2"/>
  <c r="AH354" i="2" s="1"/>
  <c r="J351" i="2"/>
  <c r="AG351" i="2"/>
  <c r="J352" i="2"/>
  <c r="AH352" i="2" s="1"/>
  <c r="AG352" i="2"/>
  <c r="F290" i="2"/>
  <c r="F208" i="30"/>
  <c r="G208" i="30"/>
  <c r="H208" i="30"/>
  <c r="P208" i="30" s="1"/>
  <c r="G290" i="2" l="1"/>
  <c r="AD290" i="2"/>
  <c r="AH351" i="2"/>
  <c r="F89" i="36"/>
  <c r="R157" i="42"/>
  <c r="AE76" i="2" s="1"/>
  <c r="H189" i="30"/>
  <c r="P189" i="30" s="1"/>
  <c r="I200" i="30"/>
  <c r="J200" i="30" s="1"/>
  <c r="K200" i="30" s="1"/>
  <c r="L200" i="30" s="1"/>
  <c r="M200" i="30" s="1"/>
  <c r="J199" i="30"/>
  <c r="K199" i="30" s="1"/>
  <c r="L199" i="30" s="1"/>
  <c r="M199" i="30" s="1"/>
  <c r="M202" i="30" s="1"/>
  <c r="J149" i="2" s="1"/>
  <c r="F202" i="30"/>
  <c r="H176" i="30"/>
  <c r="P176" i="30" s="1"/>
  <c r="I169" i="30"/>
  <c r="J169" i="30" s="1"/>
  <c r="K169" i="30" s="1"/>
  <c r="L169" i="30" s="1"/>
  <c r="I168" i="30"/>
  <c r="J168" i="30" s="1"/>
  <c r="K168" i="30" s="1"/>
  <c r="L168" i="30" s="1"/>
  <c r="G5" i="22"/>
  <c r="H5" i="22"/>
  <c r="I5" i="22"/>
  <c r="J5" i="22"/>
  <c r="K5" i="22"/>
  <c r="F5" i="22"/>
  <c r="E5" i="22"/>
  <c r="AH149" i="2" l="1"/>
  <c r="J150" i="2"/>
  <c r="H290" i="2"/>
  <c r="AE290" i="2"/>
  <c r="S157" i="42"/>
  <c r="AF76" i="2" s="1"/>
  <c r="I202" i="30"/>
  <c r="F149" i="2" s="1"/>
  <c r="AD149" i="2" s="1"/>
  <c r="G202" i="30"/>
  <c r="AC315" i="2"/>
  <c r="E267" i="2"/>
  <c r="F267" i="2"/>
  <c r="G267" i="2"/>
  <c r="H267" i="2"/>
  <c r="I267" i="2"/>
  <c r="AH150" i="2" l="1"/>
  <c r="L19" i="25"/>
  <c r="I290" i="2"/>
  <c r="AF290" i="2"/>
  <c r="G78" i="2"/>
  <c r="AE78" i="2" s="1"/>
  <c r="T157" i="42"/>
  <c r="AG76" i="2" s="1"/>
  <c r="F150" i="2"/>
  <c r="K202" i="30"/>
  <c r="H149" i="2" s="1"/>
  <c r="AF149" i="2" s="1"/>
  <c r="H202" i="30"/>
  <c r="AD150" i="2" l="1"/>
  <c r="H19" i="25"/>
  <c r="AG290" i="2"/>
  <c r="J290" i="2"/>
  <c r="AH290" i="2" s="1"/>
  <c r="P202" i="30"/>
  <c r="I78" i="2"/>
  <c r="AG78" i="2" s="1"/>
  <c r="H78" i="2"/>
  <c r="AF78" i="2" s="1"/>
  <c r="G80" i="2"/>
  <c r="AE80" i="2" s="1"/>
  <c r="E150" i="2"/>
  <c r="H150" i="2"/>
  <c r="J202" i="30"/>
  <c r="G149" i="2" s="1"/>
  <c r="AE149" i="2" s="1"/>
  <c r="J19" i="25" l="1"/>
  <c r="AF150" i="2"/>
  <c r="F151" i="2"/>
  <c r="H80" i="2"/>
  <c r="AF80" i="2" s="1"/>
  <c r="G81" i="2"/>
  <c r="G100" i="2"/>
  <c r="I80" i="2"/>
  <c r="G150" i="2"/>
  <c r="E151" i="2"/>
  <c r="L202" i="30"/>
  <c r="I149" i="2" s="1"/>
  <c r="AG149" i="2" s="1"/>
  <c r="AG80" i="2" l="1"/>
  <c r="J81" i="2"/>
  <c r="AE100" i="2"/>
  <c r="I15" i="25"/>
  <c r="I19" i="25"/>
  <c r="AE150" i="2"/>
  <c r="I81" i="2"/>
  <c r="I100" i="2"/>
  <c r="H81" i="2"/>
  <c r="H100" i="2"/>
  <c r="G103" i="2"/>
  <c r="AE103" i="2" s="1"/>
  <c r="G151" i="2"/>
  <c r="I150" i="2"/>
  <c r="H151" i="2"/>
  <c r="K96" i="41"/>
  <c r="J96" i="41"/>
  <c r="I96" i="41"/>
  <c r="H96" i="41"/>
  <c r="H94" i="25"/>
  <c r="G96" i="41" s="1"/>
  <c r="K95" i="41"/>
  <c r="J95" i="41"/>
  <c r="I95" i="41"/>
  <c r="H95" i="41"/>
  <c r="H93" i="25"/>
  <c r="G95" i="41" s="1"/>
  <c r="E96" i="41"/>
  <c r="D96" i="41"/>
  <c r="C96" i="41"/>
  <c r="E95" i="41"/>
  <c r="D95" i="41"/>
  <c r="C95" i="41"/>
  <c r="AF100" i="2" l="1"/>
  <c r="J15" i="25"/>
  <c r="AG100" i="2"/>
  <c r="K15" i="25"/>
  <c r="AG150" i="2"/>
  <c r="K19" i="25"/>
  <c r="J151" i="2"/>
  <c r="G104" i="2"/>
  <c r="H103" i="2"/>
  <c r="AF103" i="2" s="1"/>
  <c r="I103" i="2"/>
  <c r="I151" i="2"/>
  <c r="F96" i="41"/>
  <c r="F95" i="41"/>
  <c r="A395" i="2"/>
  <c r="AG103" i="2" l="1"/>
  <c r="J104" i="2"/>
  <c r="H104" i="2"/>
  <c r="I104" i="2"/>
  <c r="D355" i="2"/>
  <c r="D318" i="2"/>
  <c r="D306" i="2"/>
  <c r="D308" i="2" s="1"/>
  <c r="D294" i="2"/>
  <c r="D264" i="2"/>
  <c r="E269" i="2"/>
  <c r="D267" i="2"/>
  <c r="D266" i="2"/>
  <c r="D362" i="20"/>
  <c r="D241" i="2"/>
  <c r="D248" i="2" s="1"/>
  <c r="E362" i="20" s="1"/>
  <c r="D228" i="2"/>
  <c r="E228" i="2" s="1"/>
  <c r="D222" i="2"/>
  <c r="D223" i="2"/>
  <c r="D224" i="2"/>
  <c r="H224" i="2"/>
  <c r="I224" i="2"/>
  <c r="D225" i="2"/>
  <c r="F198" i="2"/>
  <c r="F202" i="2"/>
  <c r="AC183" i="2"/>
  <c r="E363" i="2"/>
  <c r="H315" i="2"/>
  <c r="F316" i="2"/>
  <c r="AD316" i="2" s="1"/>
  <c r="G305" i="2"/>
  <c r="G289" i="2"/>
  <c r="E292" i="2"/>
  <c r="G286" i="2"/>
  <c r="G181" i="2"/>
  <c r="D183" i="2"/>
  <c r="AC181" i="2"/>
  <c r="E377" i="2"/>
  <c r="E174" i="2"/>
  <c r="D174" i="2"/>
  <c r="G287" i="2" l="1"/>
  <c r="AE287" i="2" s="1"/>
  <c r="AD287" i="2"/>
  <c r="I315" i="2"/>
  <c r="AF315" i="2"/>
  <c r="H181" i="2"/>
  <c r="AE181" i="2"/>
  <c r="G285" i="2"/>
  <c r="AD285" i="2"/>
  <c r="H289" i="2"/>
  <c r="AE289" i="2"/>
  <c r="H286" i="2"/>
  <c r="AE286" i="2"/>
  <c r="H305" i="2"/>
  <c r="AE305" i="2"/>
  <c r="F377" i="2"/>
  <c r="F307" i="2"/>
  <c r="G174" i="2"/>
  <c r="F228" i="2"/>
  <c r="G228" i="2" s="1"/>
  <c r="H228" i="2" s="1"/>
  <c r="I228" i="2" s="1"/>
  <c r="J228" i="2" s="1"/>
  <c r="F269" i="2"/>
  <c r="G269" i="2" s="1"/>
  <c r="H269" i="2" s="1"/>
  <c r="I269" i="2" s="1"/>
  <c r="J269" i="2" s="1"/>
  <c r="F292" i="2"/>
  <c r="D319" i="2"/>
  <c r="D295" i="2"/>
  <c r="D309" i="2"/>
  <c r="D356" i="2"/>
  <c r="G202" i="2"/>
  <c r="G198" i="2"/>
  <c r="F363" i="2"/>
  <c r="E365" i="2"/>
  <c r="E318" i="2"/>
  <c r="H287" i="2"/>
  <c r="E266" i="2"/>
  <c r="F197" i="2"/>
  <c r="F318" i="2"/>
  <c r="F312" i="2" s="1"/>
  <c r="F306" i="2"/>
  <c r="G316" i="2"/>
  <c r="AE316" i="2" s="1"/>
  <c r="F201" i="2"/>
  <c r="G199" i="2"/>
  <c r="F174" i="2"/>
  <c r="I286" i="2" l="1"/>
  <c r="AF286" i="2"/>
  <c r="AD318" i="2"/>
  <c r="H36" i="25"/>
  <c r="I26" i="25"/>
  <c r="AE174" i="2"/>
  <c r="AD364" i="2"/>
  <c r="H51" i="25"/>
  <c r="G377" i="2"/>
  <c r="H61" i="25"/>
  <c r="AD377" i="2"/>
  <c r="H285" i="2"/>
  <c r="AE285" i="2"/>
  <c r="J315" i="2"/>
  <c r="AG315" i="2"/>
  <c r="G364" i="2"/>
  <c r="H364" i="2" s="1"/>
  <c r="AD174" i="2"/>
  <c r="H26" i="25"/>
  <c r="H306" i="2"/>
  <c r="AD306" i="2"/>
  <c r="I287" i="2"/>
  <c r="AF287" i="2"/>
  <c r="H50" i="25"/>
  <c r="AD363" i="2"/>
  <c r="G292" i="2"/>
  <c r="AD292" i="2"/>
  <c r="G307" i="2"/>
  <c r="AD307" i="2"/>
  <c r="I305" i="2"/>
  <c r="AF305" i="2"/>
  <c r="I289" i="2"/>
  <c r="AF289" i="2"/>
  <c r="I181" i="2"/>
  <c r="AF181" i="2"/>
  <c r="E319" i="2"/>
  <c r="F319" i="2"/>
  <c r="H198" i="2"/>
  <c r="H202" i="2"/>
  <c r="G363" i="2"/>
  <c r="F365" i="2"/>
  <c r="AD365" i="2" s="1"/>
  <c r="G201" i="2"/>
  <c r="H317" i="2"/>
  <c r="AF317" i="2" s="1"/>
  <c r="G318" i="2"/>
  <c r="G197" i="2"/>
  <c r="F266" i="2"/>
  <c r="H316" i="2"/>
  <c r="AF316" i="2" s="1"/>
  <c r="H199" i="2"/>
  <c r="G223" i="2"/>
  <c r="H174" i="2" l="1"/>
  <c r="J51" i="25"/>
  <c r="AF364" i="2"/>
  <c r="I285" i="2"/>
  <c r="AF285" i="2"/>
  <c r="AH315" i="2"/>
  <c r="AF174" i="2"/>
  <c r="J26" i="25"/>
  <c r="AE364" i="2"/>
  <c r="I51" i="25"/>
  <c r="AE363" i="2"/>
  <c r="I50" i="25"/>
  <c r="AG289" i="2"/>
  <c r="J289" i="2"/>
  <c r="AH289" i="2" s="1"/>
  <c r="H307" i="2"/>
  <c r="AE307" i="2"/>
  <c r="I306" i="2"/>
  <c r="AF306" i="2"/>
  <c r="G319" i="2"/>
  <c r="AE318" i="2"/>
  <c r="I36" i="25"/>
  <c r="AG181" i="2"/>
  <c r="J181" i="2"/>
  <c r="AG305" i="2"/>
  <c r="J305" i="2"/>
  <c r="AH305" i="2" s="1"/>
  <c r="H292" i="2"/>
  <c r="AE292" i="2"/>
  <c r="J287" i="2"/>
  <c r="AH287" i="2" s="1"/>
  <c r="AG287" i="2"/>
  <c r="H377" i="2"/>
  <c r="AE377" i="2"/>
  <c r="I61" i="25"/>
  <c r="AG286" i="2"/>
  <c r="J286" i="2"/>
  <c r="AH286" i="2" s="1"/>
  <c r="I202" i="2"/>
  <c r="J202" i="2" s="1"/>
  <c r="I198" i="2"/>
  <c r="J198" i="2" s="1"/>
  <c r="H363" i="2"/>
  <c r="G365" i="2"/>
  <c r="AE365" i="2" s="1"/>
  <c r="G225" i="2"/>
  <c r="H201" i="2"/>
  <c r="H197" i="2"/>
  <c r="G266" i="2"/>
  <c r="G222" i="2"/>
  <c r="I316" i="2"/>
  <c r="I317" i="2"/>
  <c r="H318" i="2"/>
  <c r="I199" i="2"/>
  <c r="J199" i="2" s="1"/>
  <c r="H223" i="2"/>
  <c r="I364" i="2"/>
  <c r="I174" i="2"/>
  <c r="C28" i="46"/>
  <c r="D28" i="46"/>
  <c r="E28" i="46"/>
  <c r="F28" i="46"/>
  <c r="C36" i="46"/>
  <c r="D36" i="46"/>
  <c r="E36" i="46"/>
  <c r="F36" i="46"/>
  <c r="C44" i="46"/>
  <c r="D44" i="46"/>
  <c r="E44" i="46"/>
  <c r="F44" i="46"/>
  <c r="C52" i="46"/>
  <c r="D52" i="46"/>
  <c r="E52" i="46"/>
  <c r="F52" i="46"/>
  <c r="C60" i="46"/>
  <c r="D60" i="46"/>
  <c r="E60" i="46"/>
  <c r="F60" i="46"/>
  <c r="C70" i="46"/>
  <c r="D70" i="46"/>
  <c r="E70" i="46"/>
  <c r="F70" i="46"/>
  <c r="C77" i="46"/>
  <c r="D77" i="46"/>
  <c r="E77" i="46"/>
  <c r="F77" i="46"/>
  <c r="J223" i="2" l="1"/>
  <c r="I307" i="2"/>
  <c r="AF307" i="2"/>
  <c r="AG174" i="2"/>
  <c r="K26" i="25"/>
  <c r="H319" i="2"/>
  <c r="AF318" i="2"/>
  <c r="J36" i="25"/>
  <c r="I377" i="2"/>
  <c r="AF377" i="2"/>
  <c r="J61" i="25"/>
  <c r="I292" i="2"/>
  <c r="AF292" i="2"/>
  <c r="J316" i="2"/>
  <c r="AG316" i="2"/>
  <c r="AH181" i="2"/>
  <c r="J183" i="2"/>
  <c r="AG285" i="2"/>
  <c r="J285" i="2"/>
  <c r="AG364" i="2"/>
  <c r="K51" i="25"/>
  <c r="J174" i="2"/>
  <c r="J364" i="2"/>
  <c r="AG317" i="2"/>
  <c r="J317" i="2"/>
  <c r="AH317" i="2" s="1"/>
  <c r="AF363" i="2"/>
  <c r="J50" i="25"/>
  <c r="AG306" i="2"/>
  <c r="J306" i="2"/>
  <c r="AH306" i="2" s="1"/>
  <c r="I223" i="2"/>
  <c r="H225" i="2"/>
  <c r="I363" i="2"/>
  <c r="H365" i="2"/>
  <c r="AF365" i="2" s="1"/>
  <c r="I201" i="2"/>
  <c r="J201" i="2" s="1"/>
  <c r="J225" i="2" s="1"/>
  <c r="I318" i="2"/>
  <c r="I197" i="2"/>
  <c r="J197" i="2" s="1"/>
  <c r="H266" i="2"/>
  <c r="H222" i="2"/>
  <c r="D100" i="46"/>
  <c r="C100" i="46"/>
  <c r="F100" i="46"/>
  <c r="E100" i="46"/>
  <c r="L27" i="25" l="1"/>
  <c r="AH183" i="2"/>
  <c r="I319" i="2"/>
  <c r="AG318" i="2"/>
  <c r="K36" i="25"/>
  <c r="L51" i="25"/>
  <c r="AH364" i="2"/>
  <c r="AH285" i="2"/>
  <c r="J377" i="2"/>
  <c r="AG377" i="2"/>
  <c r="K61" i="25"/>
  <c r="J222" i="2"/>
  <c r="J266" i="2"/>
  <c r="I365" i="2"/>
  <c r="AG365" i="2" s="1"/>
  <c r="J363" i="2"/>
  <c r="J365" i="2" s="1"/>
  <c r="AH365" i="2" s="1"/>
  <c r="AG363" i="2"/>
  <c r="K50" i="25"/>
  <c r="AG292" i="2"/>
  <c r="J292" i="2"/>
  <c r="AH292" i="2" s="1"/>
  <c r="J175" i="2"/>
  <c r="AH175" i="2" s="1"/>
  <c r="AH174" i="2"/>
  <c r="L26" i="25"/>
  <c r="AH316" i="2"/>
  <c r="J318" i="2"/>
  <c r="AG307" i="2"/>
  <c r="J307" i="2"/>
  <c r="AH307" i="2" s="1"/>
  <c r="I225" i="2"/>
  <c r="I222" i="2"/>
  <c r="I266" i="2"/>
  <c r="H177" i="30"/>
  <c r="P177" i="30" s="1"/>
  <c r="J319" i="2" l="1"/>
  <c r="AH318" i="2"/>
  <c r="L36" i="25"/>
  <c r="AH377" i="2"/>
  <c r="L61" i="25"/>
  <c r="AH363" i="2"/>
  <c r="L50" i="25"/>
  <c r="D255" i="2"/>
  <c r="D256" i="2" l="1"/>
  <c r="G255" i="2"/>
  <c r="H255" i="2" s="1"/>
  <c r="I255" i="2" s="1"/>
  <c r="J255" i="2" s="1"/>
  <c r="G304" i="2" l="1"/>
  <c r="AE304" i="2" s="1"/>
  <c r="AD304" i="2"/>
  <c r="E309" i="2"/>
  <c r="F308" i="2"/>
  <c r="F302" i="2" s="1"/>
  <c r="D185" i="30"/>
  <c r="D184" i="30"/>
  <c r="D183" i="30"/>
  <c r="D189" i="30"/>
  <c r="D188" i="30" s="1"/>
  <c r="D190" i="30"/>
  <c r="D179" i="30"/>
  <c r="D178" i="30"/>
  <c r="F189" i="30"/>
  <c r="F183" i="30"/>
  <c r="F185" i="30"/>
  <c r="F184" i="30"/>
  <c r="F177" i="30"/>
  <c r="F176" i="30"/>
  <c r="F179" i="30"/>
  <c r="F178" i="30"/>
  <c r="F190" i="30"/>
  <c r="G189" i="30"/>
  <c r="G190" i="30"/>
  <c r="G185" i="30"/>
  <c r="G184" i="30"/>
  <c r="G183" i="30"/>
  <c r="G177" i="30"/>
  <c r="G176" i="30"/>
  <c r="G179" i="30"/>
  <c r="G178" i="30"/>
  <c r="F309" i="2" l="1"/>
  <c r="H35" i="25"/>
  <c r="AD308" i="2"/>
  <c r="D176" i="30"/>
  <c r="H304" i="2"/>
  <c r="AF304" i="2" s="1"/>
  <c r="G308" i="2"/>
  <c r="G132" i="30"/>
  <c r="G127" i="30"/>
  <c r="G112" i="30"/>
  <c r="G117" i="30"/>
  <c r="F132" i="30"/>
  <c r="F127" i="30"/>
  <c r="F117" i="30"/>
  <c r="F112" i="30"/>
  <c r="D127" i="30"/>
  <c r="D117" i="30"/>
  <c r="D112" i="30"/>
  <c r="A60" i="30"/>
  <c r="A59" i="30"/>
  <c r="A58" i="30"/>
  <c r="A84" i="30" s="1"/>
  <c r="H35" i="30"/>
  <c r="G309" i="2" l="1"/>
  <c r="AE308" i="2"/>
  <c r="I35" i="25"/>
  <c r="I35" i="30"/>
  <c r="J35" i="30" s="1"/>
  <c r="K35" i="30" s="1"/>
  <c r="L35" i="30" s="1"/>
  <c r="P35" i="30"/>
  <c r="I304" i="2"/>
  <c r="H308" i="2"/>
  <c r="P18" i="40"/>
  <c r="Q18" i="40"/>
  <c r="P19" i="40"/>
  <c r="Q19" i="40"/>
  <c r="H309" i="2" l="1"/>
  <c r="AF308" i="2"/>
  <c r="J35" i="25"/>
  <c r="I308" i="2"/>
  <c r="J304" i="2"/>
  <c r="AG304" i="2"/>
  <c r="G186" i="30"/>
  <c r="AG308" i="2" l="1"/>
  <c r="K35" i="25"/>
  <c r="I309" i="2"/>
  <c r="J308" i="2"/>
  <c r="AH304" i="2"/>
  <c r="F80" i="30"/>
  <c r="G80" i="30" s="1"/>
  <c r="H80" i="30" s="1"/>
  <c r="J309" i="2" l="1"/>
  <c r="AH308" i="2"/>
  <c r="L35" i="25"/>
  <c r="I80" i="30"/>
  <c r="J80" i="30" s="1"/>
  <c r="K80" i="30" s="1"/>
  <c r="L80" i="30" s="1"/>
  <c r="P80" i="30"/>
  <c r="F95" i="30"/>
  <c r="D95" i="30"/>
  <c r="F94" i="30"/>
  <c r="D94" i="30"/>
  <c r="D145" i="30"/>
  <c r="B69" i="30" l="1"/>
  <c r="B68" i="30"/>
  <c r="B95" i="30"/>
  <c r="B94" i="30"/>
  <c r="A95" i="30"/>
  <c r="A94" i="30"/>
  <c r="A69" i="30"/>
  <c r="A68" i="30"/>
  <c r="A65" i="30"/>
  <c r="A64" i="30"/>
  <c r="A63" i="30"/>
  <c r="B177" i="30" l="1"/>
  <c r="A86" i="30" l="1"/>
  <c r="A85" i="30"/>
  <c r="A57" i="30"/>
  <c r="A83" i="30" s="1"/>
  <c r="A56" i="30"/>
  <c r="A82" i="30" s="1"/>
  <c r="H37" i="30"/>
  <c r="P37" i="30" s="1"/>
  <c r="H34" i="30"/>
  <c r="P34" i="30" s="1"/>
  <c r="H33" i="30"/>
  <c r="P33" i="30" s="1"/>
  <c r="I37" i="30" l="1"/>
  <c r="J37" i="30" s="1"/>
  <c r="K37" i="30" s="1"/>
  <c r="L37" i="30" s="1"/>
  <c r="I34" i="30"/>
  <c r="J34" i="30" s="1"/>
  <c r="K34" i="30" s="1"/>
  <c r="L34" i="30" s="1"/>
  <c r="I33" i="30"/>
  <c r="J33" i="30" s="1"/>
  <c r="K33" i="30" s="1"/>
  <c r="L33" i="30" s="1"/>
  <c r="A1" i="2"/>
  <c r="A2" i="30"/>
  <c r="K71" i="41"/>
  <c r="K70" i="41"/>
  <c r="K69" i="41"/>
  <c r="K68" i="41"/>
  <c r="K67" i="41"/>
  <c r="K66" i="41"/>
  <c r="K65" i="41"/>
  <c r="K64" i="41"/>
  <c r="K61" i="41"/>
  <c r="K51" i="41"/>
  <c r="K50" i="41"/>
  <c r="K49" i="41"/>
  <c r="K44" i="41"/>
  <c r="K43" i="41"/>
  <c r="K42" i="41"/>
  <c r="K41" i="41"/>
  <c r="K40" i="41"/>
  <c r="K25" i="41"/>
  <c r="K24" i="41"/>
  <c r="K22" i="41"/>
  <c r="J71" i="41"/>
  <c r="J70" i="41"/>
  <c r="J69" i="41"/>
  <c r="J68" i="41"/>
  <c r="J67" i="41"/>
  <c r="J66" i="41"/>
  <c r="J65" i="41"/>
  <c r="J64" i="41"/>
  <c r="J61" i="41"/>
  <c r="J51" i="41"/>
  <c r="J50" i="41"/>
  <c r="J49" i="41"/>
  <c r="J44" i="41"/>
  <c r="J43" i="41"/>
  <c r="J42" i="41"/>
  <c r="J41" i="41"/>
  <c r="J40" i="41"/>
  <c r="J25" i="41"/>
  <c r="J24" i="41"/>
  <c r="J22" i="41"/>
  <c r="I71" i="41"/>
  <c r="I70" i="41"/>
  <c r="I69" i="41"/>
  <c r="I68" i="41"/>
  <c r="I67" i="41"/>
  <c r="I66" i="41"/>
  <c r="I65" i="41"/>
  <c r="I64" i="41"/>
  <c r="I61" i="41"/>
  <c r="I51" i="41"/>
  <c r="I50" i="41"/>
  <c r="I49" i="41"/>
  <c r="I44" i="41"/>
  <c r="I43" i="41"/>
  <c r="I42" i="41"/>
  <c r="I41" i="41"/>
  <c r="I40" i="41"/>
  <c r="I25" i="41"/>
  <c r="I24" i="41"/>
  <c r="I22" i="41"/>
  <c r="H71" i="41"/>
  <c r="H70" i="41"/>
  <c r="H69" i="41"/>
  <c r="H68" i="41"/>
  <c r="H67" i="41"/>
  <c r="H66" i="41"/>
  <c r="H65" i="41"/>
  <c r="H64" i="41"/>
  <c r="H61" i="41"/>
  <c r="H51" i="41"/>
  <c r="H50" i="41"/>
  <c r="H49" i="41"/>
  <c r="H44" i="41"/>
  <c r="H43" i="41"/>
  <c r="H42" i="41"/>
  <c r="H41" i="41"/>
  <c r="H40" i="41"/>
  <c r="H25" i="41"/>
  <c r="H24" i="41"/>
  <c r="H22" i="41"/>
  <c r="G71" i="41"/>
  <c r="G70" i="41"/>
  <c r="G69" i="41"/>
  <c r="G68" i="41"/>
  <c r="G67" i="41"/>
  <c r="G66" i="41"/>
  <c r="G65" i="41"/>
  <c r="G64" i="41"/>
  <c r="G61" i="41"/>
  <c r="G51" i="41"/>
  <c r="G50" i="41"/>
  <c r="G49" i="41"/>
  <c r="G44" i="41"/>
  <c r="G43" i="41"/>
  <c r="G42" i="41"/>
  <c r="G41" i="41"/>
  <c r="G40" i="41"/>
  <c r="G25" i="41"/>
  <c r="G24" i="41"/>
  <c r="G22" i="41"/>
  <c r="I389" i="2"/>
  <c r="AG389" i="2" s="1"/>
  <c r="I328" i="2"/>
  <c r="AG328" i="2" s="1"/>
  <c r="I175" i="2"/>
  <c r="AG175" i="2" s="1"/>
  <c r="I170" i="2"/>
  <c r="I51" i="2"/>
  <c r="I50" i="2"/>
  <c r="AG50" i="2" s="1"/>
  <c r="I17" i="2"/>
  <c r="AG17" i="2" s="1"/>
  <c r="I16" i="2"/>
  <c r="AG16" i="2" s="1"/>
  <c r="I15" i="2"/>
  <c r="AG15" i="2" s="1"/>
  <c r="T160" i="42"/>
  <c r="T99" i="42"/>
  <c r="L154" i="30"/>
  <c r="L162" i="30" s="1"/>
  <c r="L108" i="30"/>
  <c r="L149" i="30" s="1"/>
  <c r="L158" i="30" s="1"/>
  <c r="L174" i="30" s="1"/>
  <c r="L107" i="30"/>
  <c r="L99" i="30"/>
  <c r="L98" i="30"/>
  <c r="L73" i="30"/>
  <c r="L72" i="30"/>
  <c r="L50" i="30"/>
  <c r="L42" i="30"/>
  <c r="L30" i="30"/>
  <c r="L23" i="30"/>
  <c r="H51" i="45"/>
  <c r="H40" i="45"/>
  <c r="H29" i="45"/>
  <c r="H18" i="45"/>
  <c r="AG51" i="2" l="1"/>
  <c r="K85" i="25"/>
  <c r="K23" i="41"/>
  <c r="K24" i="25"/>
  <c r="G52" i="41"/>
  <c r="H52" i="41"/>
  <c r="I52" i="41"/>
  <c r="J52" i="41"/>
  <c r="K52" i="41"/>
  <c r="L74" i="30"/>
  <c r="L100" i="30"/>
  <c r="K35" i="41"/>
  <c r="I52" i="2"/>
  <c r="AG52" i="2" s="1"/>
  <c r="I26" i="2"/>
  <c r="AG26" i="2" s="1"/>
  <c r="L192" i="30"/>
  <c r="J86" i="41" l="1"/>
  <c r="I99" i="2"/>
  <c r="AG99" i="2" s="1"/>
  <c r="I140" i="2"/>
  <c r="AG140" i="2" s="1"/>
  <c r="I121" i="2"/>
  <c r="I94" i="2"/>
  <c r="AG94" i="2" s="1"/>
  <c r="I111" i="2"/>
  <c r="I75" i="2"/>
  <c r="AG75" i="2" s="1"/>
  <c r="I84" i="2"/>
  <c r="AG84" i="2" s="1"/>
  <c r="H3" i="45"/>
  <c r="H14" i="45" s="1"/>
  <c r="H25" i="45" s="1"/>
  <c r="H36" i="45" s="1"/>
  <c r="H47" i="45" s="1"/>
  <c r="I63" i="2"/>
  <c r="AG63" i="2" s="1"/>
  <c r="I380" i="2"/>
  <c r="AG380" i="2" s="1"/>
  <c r="I323" i="2"/>
  <c r="AG323" i="2" s="1"/>
  <c r="I57" i="2"/>
  <c r="AG57" i="2" s="1"/>
  <c r="I392" i="2"/>
  <c r="AG392" i="2" s="1"/>
  <c r="I180" i="2"/>
  <c r="I376" i="2"/>
  <c r="AG376" i="2" s="1"/>
  <c r="I172" i="2"/>
  <c r="I36" i="2"/>
  <c r="AG36" i="2" s="1"/>
  <c r="I185" i="2" l="1"/>
  <c r="AG185" i="2" s="1"/>
  <c r="AG180" i="2"/>
  <c r="I164" i="2"/>
  <c r="AG164" i="2" s="1"/>
  <c r="AG172" i="2"/>
  <c r="I128" i="2"/>
  <c r="AG128" i="2" s="1"/>
  <c r="I334" i="2"/>
  <c r="AG334" i="2" s="1"/>
  <c r="I193" i="2"/>
  <c r="AG202" i="2" s="1"/>
  <c r="I395" i="2"/>
  <c r="I41" i="2"/>
  <c r="AG41" i="2" s="1"/>
  <c r="I168" i="2" l="1"/>
  <c r="AG168" i="2" s="1"/>
  <c r="I339" i="2"/>
  <c r="AG339" i="2" s="1"/>
  <c r="I219" i="2"/>
  <c r="I240" i="2" s="1"/>
  <c r="I253" i="2" s="1"/>
  <c r="I263" i="2" s="1"/>
  <c r="I271" i="2" s="1"/>
  <c r="AG271" i="2" s="1"/>
  <c r="I49" i="2"/>
  <c r="AG49" i="2" s="1"/>
  <c r="D37" i="2"/>
  <c r="J400" i="20" l="1"/>
  <c r="G77" i="41"/>
  <c r="I284" i="2"/>
  <c r="AG284" i="2" s="1"/>
  <c r="H77" i="41"/>
  <c r="I303" i="2" l="1"/>
  <c r="AG303" i="2" s="1"/>
  <c r="H51" i="2"/>
  <c r="G51" i="2"/>
  <c r="F51" i="2"/>
  <c r="AD51" i="2" s="1"/>
  <c r="E51" i="2"/>
  <c r="D51" i="2"/>
  <c r="F220" i="30"/>
  <c r="G220" i="30" s="1"/>
  <c r="H220" i="30" s="1"/>
  <c r="I220" i="30" s="1"/>
  <c r="J220" i="30" s="1"/>
  <c r="K220" i="30" s="1"/>
  <c r="L220" i="30" s="1"/>
  <c r="M220" i="30" s="1"/>
  <c r="F215" i="30"/>
  <c r="G215" i="30" s="1"/>
  <c r="H215" i="30" s="1"/>
  <c r="I215" i="30" s="1"/>
  <c r="D207" i="30"/>
  <c r="F186" i="30"/>
  <c r="F180" i="30"/>
  <c r="K154" i="30"/>
  <c r="J154" i="30"/>
  <c r="J162" i="30" s="1"/>
  <c r="I154" i="30"/>
  <c r="I192" i="30" s="1"/>
  <c r="H154" i="30"/>
  <c r="G154" i="30"/>
  <c r="G162" i="30" s="1"/>
  <c r="F154" i="30"/>
  <c r="F162" i="30" s="1"/>
  <c r="D154" i="30"/>
  <c r="F133" i="30"/>
  <c r="D102" i="30"/>
  <c r="D76" i="30"/>
  <c r="D118" i="30"/>
  <c r="K108" i="30"/>
  <c r="K149" i="30" s="1"/>
  <c r="K158" i="30" s="1"/>
  <c r="K174" i="30" s="1"/>
  <c r="J108" i="30"/>
  <c r="J149" i="30" s="1"/>
  <c r="J158" i="30" s="1"/>
  <c r="J174" i="30" s="1"/>
  <c r="I108" i="30"/>
  <c r="I149" i="30" s="1"/>
  <c r="I158" i="30" s="1"/>
  <c r="I174" i="30" s="1"/>
  <c r="H149" i="30"/>
  <c r="H158" i="30" s="1"/>
  <c r="H174" i="30" s="1"/>
  <c r="G149" i="30"/>
  <c r="G158" i="30" s="1"/>
  <c r="G174" i="30" s="1"/>
  <c r="K107" i="30"/>
  <c r="J107" i="30"/>
  <c r="I107" i="30"/>
  <c r="K99" i="30"/>
  <c r="J99" i="30"/>
  <c r="I99" i="30"/>
  <c r="H99" i="30"/>
  <c r="G99" i="30"/>
  <c r="K98" i="30"/>
  <c r="J98" i="30"/>
  <c r="I98" i="30"/>
  <c r="H98" i="30"/>
  <c r="G98" i="30"/>
  <c r="F96" i="30"/>
  <c r="F92" i="30"/>
  <c r="D92" i="30"/>
  <c r="F91" i="30"/>
  <c r="D91" i="30"/>
  <c r="F87" i="30"/>
  <c r="D87" i="30"/>
  <c r="K73" i="30"/>
  <c r="J73" i="30"/>
  <c r="I73" i="30"/>
  <c r="H73" i="30"/>
  <c r="G73" i="30"/>
  <c r="F73" i="30"/>
  <c r="D73" i="30"/>
  <c r="K72" i="30"/>
  <c r="J72" i="30"/>
  <c r="I72" i="30"/>
  <c r="H72" i="30"/>
  <c r="G72" i="30"/>
  <c r="F72" i="30"/>
  <c r="D72" i="30"/>
  <c r="F69" i="30"/>
  <c r="D69" i="30"/>
  <c r="F68" i="30"/>
  <c r="D68" i="30"/>
  <c r="G65" i="30"/>
  <c r="F65" i="30"/>
  <c r="D65" i="30"/>
  <c r="C60" i="30"/>
  <c r="B60" i="30"/>
  <c r="K50" i="30"/>
  <c r="J50" i="30"/>
  <c r="I50" i="30"/>
  <c r="H50" i="30"/>
  <c r="G50" i="30"/>
  <c r="F50" i="30"/>
  <c r="D50" i="30"/>
  <c r="F46" i="30"/>
  <c r="D46" i="30"/>
  <c r="K42" i="30"/>
  <c r="J42" i="30"/>
  <c r="I42" i="30"/>
  <c r="H42" i="30"/>
  <c r="G42" i="30"/>
  <c r="F42" i="30"/>
  <c r="D42" i="30"/>
  <c r="H36" i="30"/>
  <c r="P36" i="30" s="1"/>
  <c r="H32" i="30"/>
  <c r="P32" i="30" s="1"/>
  <c r="K30" i="30"/>
  <c r="J30" i="30"/>
  <c r="I30" i="30"/>
  <c r="H30" i="30"/>
  <c r="K23" i="30"/>
  <c r="J23" i="30"/>
  <c r="I23" i="30"/>
  <c r="H23" i="30"/>
  <c r="G23" i="30"/>
  <c r="F23" i="30"/>
  <c r="AE51" i="2" l="1"/>
  <c r="I85" i="25"/>
  <c r="AF51" i="2"/>
  <c r="J85" i="25"/>
  <c r="H192" i="30"/>
  <c r="P192" i="30" s="1"/>
  <c r="P154" i="30"/>
  <c r="D192" i="30"/>
  <c r="D193" i="30" s="1"/>
  <c r="D25" i="30" s="1"/>
  <c r="E191" i="30"/>
  <c r="E193" i="30" s="1"/>
  <c r="F26" i="30"/>
  <c r="F24" i="30"/>
  <c r="K100" i="30"/>
  <c r="F74" i="30"/>
  <c r="F98" i="30" s="1"/>
  <c r="F100" i="30" s="1"/>
  <c r="F101" i="30" s="1"/>
  <c r="G74" i="30"/>
  <c r="H100" i="30"/>
  <c r="J100" i="30"/>
  <c r="I36" i="30"/>
  <c r="I32" i="30"/>
  <c r="J32" i="30" s="1"/>
  <c r="K32" i="30" s="1"/>
  <c r="L32" i="30" s="1"/>
  <c r="G100" i="30"/>
  <c r="K191" i="30"/>
  <c r="F192" i="30"/>
  <c r="F70" i="30"/>
  <c r="H74" i="30"/>
  <c r="D74" i="30"/>
  <c r="D98" i="30" s="1"/>
  <c r="D100" i="30" s="1"/>
  <c r="I100" i="30"/>
  <c r="J192" i="30"/>
  <c r="I74" i="30"/>
  <c r="K192" i="30"/>
  <c r="L191" i="30"/>
  <c r="D186" i="30"/>
  <c r="D26" i="30" s="1"/>
  <c r="D70" i="30"/>
  <c r="D96" i="30" s="1"/>
  <c r="J74" i="30"/>
  <c r="F118" i="30"/>
  <c r="D133" i="30"/>
  <c r="K74" i="30"/>
  <c r="G191" i="30"/>
  <c r="I313" i="2"/>
  <c r="AG313" i="2" s="1"/>
  <c r="D38" i="30"/>
  <c r="D51" i="30" s="1"/>
  <c r="D180" i="30"/>
  <c r="G192" i="30"/>
  <c r="H191" i="30"/>
  <c r="P191" i="30" s="1"/>
  <c r="K162" i="30"/>
  <c r="D162" i="30"/>
  <c r="H162" i="30"/>
  <c r="P162" i="30" s="1"/>
  <c r="I162" i="30"/>
  <c r="I191" i="30"/>
  <c r="F191" i="30"/>
  <c r="J191" i="30"/>
  <c r="I86" i="41" l="1"/>
  <c r="H86" i="41"/>
  <c r="H88" i="41" s="1"/>
  <c r="E25" i="30"/>
  <c r="E194" i="30"/>
  <c r="F193" i="30"/>
  <c r="D24" i="30"/>
  <c r="D101" i="30"/>
  <c r="I350" i="2"/>
  <c r="AG350" i="2" s="1"/>
  <c r="D61" i="30"/>
  <c r="D66" i="30"/>
  <c r="D75" i="30" s="1"/>
  <c r="D9" i="30"/>
  <c r="E17" i="30" s="1"/>
  <c r="F207" i="30"/>
  <c r="F31" i="30"/>
  <c r="G207" i="30"/>
  <c r="D194" i="30"/>
  <c r="D153" i="30"/>
  <c r="E188" i="30" s="1"/>
  <c r="I88" i="41" l="1"/>
  <c r="J88" i="41" s="1"/>
  <c r="F25" i="30"/>
  <c r="F194" i="30"/>
  <c r="F188" i="30"/>
  <c r="I362" i="2"/>
  <c r="AG362" i="2" s="1"/>
  <c r="D120" i="30"/>
  <c r="H207" i="30"/>
  <c r="P207" i="30" s="1"/>
  <c r="G31" i="30"/>
  <c r="F38" i="30"/>
  <c r="F51" i="30" s="1"/>
  <c r="F54" i="30"/>
  <c r="F141" i="30"/>
  <c r="I96" i="23"/>
  <c r="I95" i="23"/>
  <c r="E76" i="30" l="1"/>
  <c r="E109" i="30"/>
  <c r="E122" i="30"/>
  <c r="D7" i="30"/>
  <c r="I368" i="2"/>
  <c r="AG368" i="2" s="1"/>
  <c r="F66" i="30"/>
  <c r="F75" i="30" s="1"/>
  <c r="F61" i="30"/>
  <c r="G54" i="30"/>
  <c r="H31" i="30"/>
  <c r="P31" i="30" s="1"/>
  <c r="G38" i="30"/>
  <c r="F145" i="30"/>
  <c r="G141" i="30"/>
  <c r="D135" i="30"/>
  <c r="F153" i="30"/>
  <c r="G188" i="30" s="1"/>
  <c r="D151" i="30"/>
  <c r="D150" i="30"/>
  <c r="O65" i="42"/>
  <c r="E120" i="30" l="1"/>
  <c r="E121" i="30" s="1"/>
  <c r="E115" i="30"/>
  <c r="E124" i="30"/>
  <c r="E135" i="30" s="1"/>
  <c r="E137" i="30" s="1"/>
  <c r="E130" i="30"/>
  <c r="E102" i="30"/>
  <c r="F9" i="30"/>
  <c r="F17" i="30" s="1"/>
  <c r="D161" i="30"/>
  <c r="D8" i="30"/>
  <c r="D136" i="30"/>
  <c r="D146" i="30" s="1"/>
  <c r="D152" i="30"/>
  <c r="D155" i="30" s="1"/>
  <c r="D195" i="30" s="1"/>
  <c r="H38" i="30"/>
  <c r="P38" i="30" s="1"/>
  <c r="I31" i="30"/>
  <c r="D159" i="30"/>
  <c r="D160" i="30"/>
  <c r="G145" i="30"/>
  <c r="G9" i="30" s="1"/>
  <c r="H141" i="30"/>
  <c r="P141" i="30" s="1"/>
  <c r="H54" i="30"/>
  <c r="P54" i="30" s="1"/>
  <c r="O19" i="42"/>
  <c r="F76" i="30" l="1"/>
  <c r="E8" i="30"/>
  <c r="E16" i="30" s="1"/>
  <c r="E152" i="30"/>
  <c r="D10" i="30"/>
  <c r="E7" i="30"/>
  <c r="E136" i="30"/>
  <c r="E138" i="30" s="1"/>
  <c r="E150" i="30"/>
  <c r="E151" i="30"/>
  <c r="F109" i="30"/>
  <c r="G17" i="30"/>
  <c r="D163" i="30"/>
  <c r="I141" i="30"/>
  <c r="H145" i="30"/>
  <c r="D196" i="30"/>
  <c r="I54" i="30"/>
  <c r="I38" i="30"/>
  <c r="J31" i="30"/>
  <c r="H9" i="30" l="1"/>
  <c r="P9" i="30" s="1"/>
  <c r="P145" i="30"/>
  <c r="E160" i="30"/>
  <c r="E155" i="30"/>
  <c r="E161" i="30"/>
  <c r="E159" i="30"/>
  <c r="E146" i="30"/>
  <c r="E126" i="30"/>
  <c r="E10" i="30"/>
  <c r="E19" i="30" s="1"/>
  <c r="E15" i="30"/>
  <c r="F120" i="30"/>
  <c r="F121" i="30" s="1"/>
  <c r="F115" i="30"/>
  <c r="F124" i="30"/>
  <c r="F135" i="30" s="1"/>
  <c r="F102" i="30"/>
  <c r="D165" i="30"/>
  <c r="D166" i="30" s="1"/>
  <c r="H17" i="30"/>
  <c r="P17" i="30" s="1"/>
  <c r="K31" i="30"/>
  <c r="J38" i="30"/>
  <c r="J54" i="30"/>
  <c r="I145" i="30"/>
  <c r="I9" i="30" s="1"/>
  <c r="J141" i="30"/>
  <c r="F152" i="30" l="1"/>
  <c r="F137" i="30"/>
  <c r="E147" i="30"/>
  <c r="E195" i="30"/>
  <c r="E156" i="30"/>
  <c r="E163" i="30"/>
  <c r="E165" i="30" s="1"/>
  <c r="E166" i="30" s="1"/>
  <c r="E196" i="30"/>
  <c r="G76" i="30"/>
  <c r="F151" i="30"/>
  <c r="G109" i="30"/>
  <c r="O64" i="42" s="1"/>
  <c r="F7" i="30"/>
  <c r="F15" i="30" s="1"/>
  <c r="F150" i="30"/>
  <c r="G124" i="30"/>
  <c r="F8" i="30"/>
  <c r="F136" i="30"/>
  <c r="G102" i="30"/>
  <c r="I17" i="30"/>
  <c r="K38" i="30"/>
  <c r="L31" i="30"/>
  <c r="L38" i="30" s="1"/>
  <c r="J145" i="30"/>
  <c r="J9" i="30" s="1"/>
  <c r="K141" i="30"/>
  <c r="K54" i="30"/>
  <c r="L54" i="30" s="1"/>
  <c r="G133" i="30"/>
  <c r="G118" i="30"/>
  <c r="F146" i="30" l="1"/>
  <c r="F138" i="30"/>
  <c r="F160" i="30"/>
  <c r="F161" i="30"/>
  <c r="F10" i="30"/>
  <c r="F19" i="30" s="1"/>
  <c r="G120" i="30"/>
  <c r="G115" i="30"/>
  <c r="F159" i="30"/>
  <c r="F155" i="30"/>
  <c r="F16" i="30"/>
  <c r="J17" i="30"/>
  <c r="K145" i="30"/>
  <c r="K9" i="30" s="1"/>
  <c r="L141" i="30"/>
  <c r="L145" i="30" s="1"/>
  <c r="L9" i="30" s="1"/>
  <c r="I20" i="2" s="1"/>
  <c r="AG20" i="2" s="1"/>
  <c r="G89" i="30"/>
  <c r="G87" i="30"/>
  <c r="G90" i="30"/>
  <c r="G135" i="30"/>
  <c r="G121" i="30" l="1"/>
  <c r="H115" i="30"/>
  <c r="P115" i="30" s="1"/>
  <c r="G137" i="30"/>
  <c r="H130" i="30"/>
  <c r="P130" i="30" s="1"/>
  <c r="F147" i="30"/>
  <c r="F156" i="30"/>
  <c r="F195" i="30"/>
  <c r="G7" i="30"/>
  <c r="G15" i="30" s="1"/>
  <c r="H122" i="30"/>
  <c r="G151" i="30"/>
  <c r="H109" i="30"/>
  <c r="P109" i="30" s="1"/>
  <c r="F163" i="30"/>
  <c r="F165" i="30" s="1"/>
  <c r="F166" i="30" s="1"/>
  <c r="F196" i="30"/>
  <c r="H90" i="30"/>
  <c r="H89" i="30"/>
  <c r="L17" i="30"/>
  <c r="K17" i="30"/>
  <c r="G136" i="30"/>
  <c r="G8" i="30"/>
  <c r="G92" i="30"/>
  <c r="G91" i="30"/>
  <c r="G66" i="30"/>
  <c r="G61" i="30"/>
  <c r="H124" i="30"/>
  <c r="P124" i="30" s="1"/>
  <c r="G146" i="30" l="1"/>
  <c r="G138" i="30"/>
  <c r="H125" i="30"/>
  <c r="P125" i="30" s="1"/>
  <c r="H76" i="30"/>
  <c r="P76" i="30" s="1"/>
  <c r="H64" i="30"/>
  <c r="H63" i="30"/>
  <c r="G16" i="30"/>
  <c r="G10" i="30"/>
  <c r="H118" i="30"/>
  <c r="H120" i="30" l="1"/>
  <c r="P118" i="30"/>
  <c r="G147" i="30"/>
  <c r="H7" i="30"/>
  <c r="G19" i="30"/>
  <c r="I109" i="30"/>
  <c r="H15" i="30" l="1"/>
  <c r="P15" i="30" s="1"/>
  <c r="P7" i="30"/>
  <c r="H121" i="30"/>
  <c r="P121" i="30" s="1"/>
  <c r="P120" i="30"/>
  <c r="G68" i="30"/>
  <c r="G94" i="30"/>
  <c r="G46" i="30"/>
  <c r="G51" i="30" s="1"/>
  <c r="G153" i="30" s="1"/>
  <c r="G95" i="30"/>
  <c r="G69" i="30"/>
  <c r="I116" i="30"/>
  <c r="H65" i="30"/>
  <c r="H151" i="30" s="1"/>
  <c r="P151" i="30" s="1"/>
  <c r="H66" i="30"/>
  <c r="P66" i="30" s="1"/>
  <c r="H61" i="30"/>
  <c r="P61" i="30" s="1"/>
  <c r="T1" i="40"/>
  <c r="S1" i="40"/>
  <c r="I58" i="30" l="1"/>
  <c r="I59" i="30"/>
  <c r="G70" i="30"/>
  <c r="G150" i="30" s="1"/>
  <c r="G161" i="30" s="1"/>
  <c r="G193" i="30"/>
  <c r="I76" i="30"/>
  <c r="I55" i="30"/>
  <c r="I64" i="30"/>
  <c r="I63" i="30"/>
  <c r="I57" i="30"/>
  <c r="I56" i="30"/>
  <c r="I60" i="30"/>
  <c r="G96" i="30"/>
  <c r="G101" i="30" s="1"/>
  <c r="G152" i="30" s="1"/>
  <c r="I118" i="30"/>
  <c r="I120" i="30" s="1"/>
  <c r="I7" i="30" l="1"/>
  <c r="I121" i="30"/>
  <c r="G25" i="30"/>
  <c r="G75" i="30"/>
  <c r="G159" i="30"/>
  <c r="G155" i="30"/>
  <c r="G160" i="30"/>
  <c r="I15" i="30"/>
  <c r="J109" i="30"/>
  <c r="D8" i="36"/>
  <c r="C8" i="36"/>
  <c r="C9" i="36" s="1"/>
  <c r="G156" i="30" l="1"/>
  <c r="G195" i="30"/>
  <c r="G26" i="30"/>
  <c r="D112" i="2" s="1"/>
  <c r="D114" i="2" s="1"/>
  <c r="D129" i="2" s="1"/>
  <c r="D132" i="2" s="1"/>
  <c r="D133" i="2" s="1"/>
  <c r="G163" i="30"/>
  <c r="I61" i="30"/>
  <c r="I66" i="30"/>
  <c r="I65" i="30"/>
  <c r="I151" i="30" s="1"/>
  <c r="J116" i="30"/>
  <c r="J58" i="30" s="1"/>
  <c r="Q41" i="40"/>
  <c r="P41" i="40"/>
  <c r="Q40" i="40"/>
  <c r="P40" i="40"/>
  <c r="Q39" i="40"/>
  <c r="P39" i="40"/>
  <c r="Q38" i="40"/>
  <c r="P38" i="40"/>
  <c r="Q37" i="40"/>
  <c r="P37" i="40"/>
  <c r="Q36" i="40"/>
  <c r="P36" i="40"/>
  <c r="Q35" i="40"/>
  <c r="P35" i="40"/>
  <c r="Q34" i="40"/>
  <c r="P34" i="40"/>
  <c r="Q33" i="40"/>
  <c r="P33" i="40"/>
  <c r="Q32" i="40"/>
  <c r="P32" i="40"/>
  <c r="Q31" i="40"/>
  <c r="P31" i="40"/>
  <c r="Q30" i="40"/>
  <c r="P30" i="40"/>
  <c r="Q29" i="40"/>
  <c r="P29" i="40"/>
  <c r="Q28" i="40"/>
  <c r="P28" i="40"/>
  <c r="Q27" i="40"/>
  <c r="P27" i="40"/>
  <c r="Q26" i="40"/>
  <c r="P26" i="40"/>
  <c r="Q25" i="40"/>
  <c r="P25" i="40"/>
  <c r="Q24" i="40"/>
  <c r="P24" i="40"/>
  <c r="Q23" i="40"/>
  <c r="P23" i="40"/>
  <c r="Q22" i="40"/>
  <c r="P22" i="40"/>
  <c r="Q21" i="40"/>
  <c r="P21" i="40"/>
  <c r="Q20" i="40"/>
  <c r="P20" i="40"/>
  <c r="Q17" i="40"/>
  <c r="P17" i="40"/>
  <c r="Q16" i="40"/>
  <c r="P16" i="40"/>
  <c r="Q15" i="40"/>
  <c r="P15" i="40"/>
  <c r="Q14" i="40"/>
  <c r="P14" i="40"/>
  <c r="Q13" i="40"/>
  <c r="P13" i="40"/>
  <c r="Q12" i="40"/>
  <c r="P12" i="40"/>
  <c r="Q11" i="40"/>
  <c r="P11" i="40"/>
  <c r="Q10" i="40"/>
  <c r="P10" i="40"/>
  <c r="Q9" i="40"/>
  <c r="P9" i="40"/>
  <c r="Q8" i="40"/>
  <c r="P8" i="40"/>
  <c r="Q7" i="40"/>
  <c r="P7" i="40"/>
  <c r="Q6" i="40"/>
  <c r="P6" i="40"/>
  <c r="Q5" i="40"/>
  <c r="P5" i="40"/>
  <c r="Q4" i="40"/>
  <c r="P4" i="40"/>
  <c r="Q3" i="40"/>
  <c r="P3" i="40"/>
  <c r="Q2" i="40"/>
  <c r="P2" i="40"/>
  <c r="J76" i="30" l="1"/>
  <c r="J63" i="30"/>
  <c r="J55" i="30"/>
  <c r="J57" i="30"/>
  <c r="J64" i="30"/>
  <c r="J60" i="30"/>
  <c r="J56" i="30"/>
  <c r="J59" i="30"/>
  <c r="G165" i="30"/>
  <c r="G166" i="30" s="1"/>
  <c r="J118" i="30"/>
  <c r="J120" i="30" s="1"/>
  <c r="J7" i="30" l="1"/>
  <c r="J15" i="30" s="1"/>
  <c r="J121" i="30"/>
  <c r="K109" i="30"/>
  <c r="K3" i="38"/>
  <c r="L3" i="38" s="1"/>
  <c r="D3" i="38"/>
  <c r="E3" i="38" s="1"/>
  <c r="J61" i="30" l="1"/>
  <c r="J66" i="30"/>
  <c r="J65" i="30"/>
  <c r="J151" i="30" s="1"/>
  <c r="K116" i="30"/>
  <c r="K58" i="30" s="1"/>
  <c r="K76" i="30" l="1"/>
  <c r="K64" i="30"/>
  <c r="K55" i="30"/>
  <c r="K59" i="30"/>
  <c r="K60" i="30"/>
  <c r="K63" i="30"/>
  <c r="K56" i="30"/>
  <c r="K57" i="30"/>
  <c r="K118" i="30"/>
  <c r="K120" i="30" s="1"/>
  <c r="K121" i="30" s="1"/>
  <c r="L109" i="30" l="1"/>
  <c r="L116" i="30" s="1"/>
  <c r="L58" i="30" s="1"/>
  <c r="K7" i="30"/>
  <c r="T64" i="42" l="1"/>
  <c r="L63" i="30"/>
  <c r="L56" i="30"/>
  <c r="L59" i="30"/>
  <c r="L55" i="30"/>
  <c r="L57" i="30"/>
  <c r="L64" i="30"/>
  <c r="L60" i="30"/>
  <c r="K15" i="30"/>
  <c r="L76" i="30"/>
  <c r="L118" i="30"/>
  <c r="L120" i="30" s="1"/>
  <c r="K61" i="30"/>
  <c r="K65" i="30"/>
  <c r="K151" i="30" s="1"/>
  <c r="K66" i="30"/>
  <c r="H389" i="2"/>
  <c r="AF389" i="2" s="1"/>
  <c r="H328" i="2"/>
  <c r="AF328" i="2" s="1"/>
  <c r="H175" i="2"/>
  <c r="AF175" i="2" s="1"/>
  <c r="H170" i="2"/>
  <c r="H50" i="2"/>
  <c r="AF50" i="2" s="1"/>
  <c r="H17" i="2"/>
  <c r="AF17" i="2" s="1"/>
  <c r="H16" i="2"/>
  <c r="AF16" i="2" s="1"/>
  <c r="H15" i="2"/>
  <c r="AF15" i="2" s="1"/>
  <c r="S160" i="42"/>
  <c r="S99" i="42"/>
  <c r="G51" i="45"/>
  <c r="G40" i="45"/>
  <c r="G29" i="45"/>
  <c r="G18" i="45"/>
  <c r="J23" i="41" l="1"/>
  <c r="J24" i="25"/>
  <c r="L7" i="30"/>
  <c r="I18" i="2" s="1"/>
  <c r="AG18" i="2" s="1"/>
  <c r="L121" i="30"/>
  <c r="J35" i="41"/>
  <c r="H26" i="2"/>
  <c r="AF26" i="2" s="1"/>
  <c r="L15" i="30" l="1"/>
  <c r="H99" i="2"/>
  <c r="AF99" i="2" s="1"/>
  <c r="H121" i="2"/>
  <c r="H75" i="2"/>
  <c r="AF75" i="2" s="1"/>
  <c r="H111" i="2"/>
  <c r="H84" i="2"/>
  <c r="AF84" i="2" s="1"/>
  <c r="H140" i="2"/>
  <c r="AF140" i="2" s="1"/>
  <c r="H94" i="2"/>
  <c r="AF94" i="2" s="1"/>
  <c r="L61" i="30"/>
  <c r="L66" i="30"/>
  <c r="L65" i="30"/>
  <c r="L151" i="30" s="1"/>
  <c r="G3" i="45"/>
  <c r="G14" i="45" s="1"/>
  <c r="G25" i="45" s="1"/>
  <c r="G36" i="45" s="1"/>
  <c r="G47" i="45" s="1"/>
  <c r="H63" i="2"/>
  <c r="AF63" i="2" s="1"/>
  <c r="H172" i="2"/>
  <c r="AF172" i="2" s="1"/>
  <c r="H380" i="2"/>
  <c r="AF380" i="2" s="1"/>
  <c r="H57" i="2"/>
  <c r="AF57" i="2" s="1"/>
  <c r="H323" i="2"/>
  <c r="AF323" i="2" s="1"/>
  <c r="H36" i="2"/>
  <c r="AF36" i="2" s="1"/>
  <c r="H180" i="2"/>
  <c r="AF180" i="2" s="1"/>
  <c r="H376" i="2"/>
  <c r="AF376" i="2" s="1"/>
  <c r="H392" i="2"/>
  <c r="AF392" i="2" s="1"/>
  <c r="H128" i="2" l="1"/>
  <c r="AF128" i="2" s="1"/>
  <c r="H185" i="2"/>
  <c r="AF185" i="2" s="1"/>
  <c r="H164" i="2"/>
  <c r="AF164" i="2" s="1"/>
  <c r="H52" i="2"/>
  <c r="AF52" i="2" s="1"/>
  <c r="H395" i="2"/>
  <c r="H41" i="2"/>
  <c r="AF41" i="2" s="1"/>
  <c r="H193" i="2"/>
  <c r="AF202" i="2" s="1"/>
  <c r="H334" i="2"/>
  <c r="AF334" i="2" s="1"/>
  <c r="H168" i="2" l="1"/>
  <c r="AF168" i="2" s="1"/>
  <c r="H49" i="2"/>
  <c r="AF49" i="2" s="1"/>
  <c r="H339" i="2"/>
  <c r="AF339" i="2" s="1"/>
  <c r="H219" i="2"/>
  <c r="H240" i="2" s="1"/>
  <c r="H253" i="2" s="1"/>
  <c r="H263" i="2" s="1"/>
  <c r="H271" i="2" s="1"/>
  <c r="AF271" i="2" s="1"/>
  <c r="I400" i="20" l="1"/>
  <c r="H284" i="2"/>
  <c r="AF284" i="2" s="1"/>
  <c r="H303" i="2" l="1"/>
  <c r="AF303" i="2" s="1"/>
  <c r="H313" i="2" l="1"/>
  <c r="AF313" i="2" s="1"/>
  <c r="H350" i="2" l="1"/>
  <c r="AF350" i="2" s="1"/>
  <c r="H362" i="2" l="1"/>
  <c r="AF362" i="2" s="1"/>
  <c r="H368" i="2" l="1"/>
  <c r="AF368" i="2" s="1"/>
  <c r="O66" i="42" l="1"/>
  <c r="O67" i="42" s="1"/>
  <c r="G389" i="2" l="1"/>
  <c r="AE389" i="2" s="1"/>
  <c r="G328" i="2"/>
  <c r="AE328" i="2" s="1"/>
  <c r="G175" i="2"/>
  <c r="AE175" i="2" s="1"/>
  <c r="G170" i="2"/>
  <c r="G50" i="2"/>
  <c r="AE50" i="2" s="1"/>
  <c r="G17" i="2"/>
  <c r="AE17" i="2" s="1"/>
  <c r="G16" i="2"/>
  <c r="AE16" i="2" s="1"/>
  <c r="G15" i="2"/>
  <c r="AE15" i="2" s="1"/>
  <c r="R160" i="42"/>
  <c r="R99" i="42"/>
  <c r="F51" i="45"/>
  <c r="F40" i="45"/>
  <c r="F29" i="45"/>
  <c r="F18" i="45"/>
  <c r="I23" i="41" l="1"/>
  <c r="I24" i="25"/>
  <c r="I35" i="41"/>
  <c r="G52" i="2"/>
  <c r="AE52" i="2" s="1"/>
  <c r="G26" i="2"/>
  <c r="AE26" i="2" s="1"/>
  <c r="G121" i="2" l="1"/>
  <c r="G75" i="2"/>
  <c r="AE75" i="2" s="1"/>
  <c r="G140" i="2"/>
  <c r="AE140" i="2" s="1"/>
  <c r="G111" i="2"/>
  <c r="G84" i="2"/>
  <c r="AE84" i="2" s="1"/>
  <c r="G94" i="2"/>
  <c r="AE94" i="2" s="1"/>
  <c r="G99" i="2"/>
  <c r="AE99" i="2" s="1"/>
  <c r="F3" i="45"/>
  <c r="F14" i="45" s="1"/>
  <c r="F25" i="45" s="1"/>
  <c r="F36" i="45" s="1"/>
  <c r="F47" i="45" s="1"/>
  <c r="G172" i="2"/>
  <c r="AE172" i="2" s="1"/>
  <c r="G380" i="2"/>
  <c r="AE380" i="2" s="1"/>
  <c r="G376" i="2"/>
  <c r="AE376" i="2" s="1"/>
  <c r="G323" i="2"/>
  <c r="AE323" i="2" s="1"/>
  <c r="G392" i="2"/>
  <c r="AE392" i="2" s="1"/>
  <c r="G57" i="2"/>
  <c r="AE57" i="2" s="1"/>
  <c r="G36" i="2"/>
  <c r="AE36" i="2" s="1"/>
  <c r="G180" i="2"/>
  <c r="AE180" i="2" s="1"/>
  <c r="G63" i="2"/>
  <c r="AE63" i="2" s="1"/>
  <c r="G128" i="2" l="1"/>
  <c r="AE128" i="2" s="1"/>
  <c r="G185" i="2"/>
  <c r="AE185" i="2" s="1"/>
  <c r="G164" i="2"/>
  <c r="AE164" i="2" s="1"/>
  <c r="G41" i="2"/>
  <c r="AE41" i="2" s="1"/>
  <c r="G193" i="2"/>
  <c r="AE202" i="2" s="1"/>
  <c r="G395" i="2"/>
  <c r="G334" i="2"/>
  <c r="AE334" i="2" s="1"/>
  <c r="G168" i="2" l="1"/>
  <c r="AE168" i="2" s="1"/>
  <c r="G219" i="2"/>
  <c r="G240" i="2" s="1"/>
  <c r="G253" i="2" s="1"/>
  <c r="G263" i="2" s="1"/>
  <c r="G271" i="2" s="1"/>
  <c r="AE271" i="2" s="1"/>
  <c r="G339" i="2"/>
  <c r="AE339" i="2" s="1"/>
  <c r="G49" i="2"/>
  <c r="AE49" i="2" s="1"/>
  <c r="H400" i="20" l="1"/>
  <c r="G284" i="2"/>
  <c r="AE284" i="2" s="1"/>
  <c r="G303" i="2" l="1"/>
  <c r="AE303" i="2" s="1"/>
  <c r="G313" i="2" l="1"/>
  <c r="AE313" i="2" s="1"/>
  <c r="G350" i="2" l="1"/>
  <c r="AE350" i="2" s="1"/>
  <c r="D12" i="25"/>
  <c r="C11" i="41" s="1"/>
  <c r="D13" i="25"/>
  <c r="C12" i="41" s="1"/>
  <c r="E12" i="25"/>
  <c r="D11" i="41" s="1"/>
  <c r="E13" i="25"/>
  <c r="D12" i="41" s="1"/>
  <c r="F12" i="25"/>
  <c r="E11" i="41" s="1"/>
  <c r="F13" i="25"/>
  <c r="E12" i="41" s="1"/>
  <c r="F12" i="41" l="1"/>
  <c r="F11" i="41"/>
  <c r="G362" i="2"/>
  <c r="AE362" i="2" s="1"/>
  <c r="G368" i="2" l="1"/>
  <c r="AE368" i="2" s="1"/>
  <c r="AC182" i="2" l="1"/>
  <c r="G132" i="20" l="1"/>
  <c r="D18" i="38" l="1"/>
  <c r="D19" i="38" s="1"/>
  <c r="E18" i="45" l="1"/>
  <c r="D18" i="45"/>
  <c r="E51" i="45"/>
  <c r="D51" i="45"/>
  <c r="E40" i="45"/>
  <c r="D40" i="45"/>
  <c r="E29" i="45"/>
  <c r="D29" i="45"/>
  <c r="D121" i="38" l="1"/>
  <c r="E121" i="38" s="1"/>
  <c r="F121" i="38" s="1"/>
  <c r="G121" i="38" s="1"/>
  <c r="H121" i="38" s="1"/>
  <c r="I121" i="38" s="1"/>
  <c r="J121" i="38" s="1"/>
  <c r="K121" i="38" s="1"/>
  <c r="D123" i="38"/>
  <c r="E123" i="38" s="1"/>
  <c r="F123" i="38" s="1"/>
  <c r="G123" i="38" s="1"/>
  <c r="H123" i="38" s="1"/>
  <c r="I123" i="38" s="1"/>
  <c r="J123" i="38" s="1"/>
  <c r="K123" i="38" s="1"/>
  <c r="L123" i="38" s="1"/>
  <c r="M123" i="38" s="1"/>
  <c r="N123" i="38" s="1"/>
  <c r="O123" i="38" s="1"/>
  <c r="D122" i="38"/>
  <c r="E122" i="38" s="1"/>
  <c r="F122" i="38" s="1"/>
  <c r="G122" i="38" s="1"/>
  <c r="H122" i="38" s="1"/>
  <c r="I122" i="38" s="1"/>
  <c r="J122" i="38" s="1"/>
  <c r="K122" i="38" s="1"/>
  <c r="L122" i="38" s="1"/>
  <c r="M122" i="38" s="1"/>
  <c r="N122" i="38" s="1"/>
  <c r="O122" i="38" s="1"/>
  <c r="D86" i="38"/>
  <c r="E86" i="38" s="1"/>
  <c r="F86" i="38" s="1"/>
  <c r="G86" i="38" s="1"/>
  <c r="H86" i="38" s="1"/>
  <c r="I86" i="38" s="1"/>
  <c r="J86" i="38" s="1"/>
  <c r="K86" i="38" s="1"/>
  <c r="D87" i="38"/>
  <c r="E87" i="38" s="1"/>
  <c r="F87" i="38" s="1"/>
  <c r="G87" i="38" s="1"/>
  <c r="H87" i="38" s="1"/>
  <c r="I87" i="38" s="1"/>
  <c r="J87" i="38" s="1"/>
  <c r="K87" i="38" s="1"/>
  <c r="L87" i="38" s="1"/>
  <c r="M87" i="38" s="1"/>
  <c r="N87" i="38" s="1"/>
  <c r="O87" i="38" s="1"/>
  <c r="D88" i="38"/>
  <c r="D53" i="38" l="1"/>
  <c r="E88" i="38"/>
  <c r="F88" i="38" s="1"/>
  <c r="G88" i="38" s="1"/>
  <c r="K2" i="38"/>
  <c r="D2" i="38"/>
  <c r="E2" i="38" s="1"/>
  <c r="AC306" i="2"/>
  <c r="E53" i="38" l="1"/>
  <c r="F53" i="38"/>
  <c r="H88" i="38"/>
  <c r="G53" i="38"/>
  <c r="I88" i="38" l="1"/>
  <c r="H53" i="38"/>
  <c r="A40" i="23"/>
  <c r="J88" i="38" l="1"/>
  <c r="I53" i="38"/>
  <c r="Q160" i="42"/>
  <c r="P160" i="42"/>
  <c r="O160" i="42"/>
  <c r="O127" i="42"/>
  <c r="Q99" i="42"/>
  <c r="P99" i="42"/>
  <c r="O99" i="42"/>
  <c r="O94" i="42"/>
  <c r="Q94" i="42" s="1"/>
  <c r="R94" i="42" s="1"/>
  <c r="S94" i="42" s="1"/>
  <c r="T94" i="42" s="1"/>
  <c r="O93" i="42"/>
  <c r="Q93" i="42" s="1"/>
  <c r="R93" i="42" s="1"/>
  <c r="S93" i="42" s="1"/>
  <c r="T93" i="42" s="1"/>
  <c r="O91" i="42"/>
  <c r="Q91" i="42" s="1"/>
  <c r="R91" i="42" s="1"/>
  <c r="S91" i="42" s="1"/>
  <c r="T91" i="42" s="1"/>
  <c r="O90" i="42"/>
  <c r="Q90" i="42" s="1"/>
  <c r="R90" i="42" s="1"/>
  <c r="S90" i="42" s="1"/>
  <c r="T90" i="42" s="1"/>
  <c r="O77" i="42"/>
  <c r="Q77" i="42" s="1"/>
  <c r="R77" i="42" s="1"/>
  <c r="S77" i="42" s="1"/>
  <c r="T77" i="42" s="1"/>
  <c r="O76" i="42"/>
  <c r="O75" i="42"/>
  <c r="Q75" i="42" s="1"/>
  <c r="R75" i="42" s="1"/>
  <c r="O68" i="42"/>
  <c r="P56" i="42"/>
  <c r="Q56" i="42" s="1"/>
  <c r="R56" i="42" s="1"/>
  <c r="S56" i="42" s="1"/>
  <c r="T56" i="42" s="1"/>
  <c r="P55" i="42"/>
  <c r="Q55" i="42" s="1"/>
  <c r="R55" i="42" s="1"/>
  <c r="S55" i="42" s="1"/>
  <c r="T55" i="42" s="1"/>
  <c r="O52" i="42"/>
  <c r="P52" i="42" s="1"/>
  <c r="Q52" i="42" s="1"/>
  <c r="R52" i="42" s="1"/>
  <c r="S52" i="42" s="1"/>
  <c r="T52" i="42" s="1"/>
  <c r="O51" i="42"/>
  <c r="P51" i="42" s="1"/>
  <c r="Q51" i="42" s="1"/>
  <c r="R51" i="42" s="1"/>
  <c r="S51" i="42" s="1"/>
  <c r="T51" i="42" s="1"/>
  <c r="O50" i="42"/>
  <c r="P50" i="42" s="1"/>
  <c r="Q50" i="42" s="1"/>
  <c r="R50" i="42" s="1"/>
  <c r="S50" i="42" s="1"/>
  <c r="T50" i="42" s="1"/>
  <c r="P49" i="42"/>
  <c r="Q49" i="42" s="1"/>
  <c r="R49" i="42" s="1"/>
  <c r="S49" i="42" s="1"/>
  <c r="T49" i="42" s="1"/>
  <c r="P48" i="42"/>
  <c r="Q48" i="42" s="1"/>
  <c r="R48" i="42" s="1"/>
  <c r="S48" i="42" s="1"/>
  <c r="T48" i="42" s="1"/>
  <c r="P47" i="42"/>
  <c r="Q47" i="42" s="1"/>
  <c r="R47" i="42" s="1"/>
  <c r="S47" i="42" s="1"/>
  <c r="T47" i="42" s="1"/>
  <c r="P45" i="42"/>
  <c r="Q45" i="42" s="1"/>
  <c r="R45" i="42" s="1"/>
  <c r="S45" i="42" s="1"/>
  <c r="T45" i="42" s="1"/>
  <c r="P24" i="42"/>
  <c r="Q24" i="42" s="1"/>
  <c r="R24" i="42" s="1"/>
  <c r="S24" i="42" s="1"/>
  <c r="T24" i="42" s="1"/>
  <c r="P23" i="42"/>
  <c r="Q23" i="42" s="1"/>
  <c r="R23" i="42" s="1"/>
  <c r="S23" i="42" s="1"/>
  <c r="T23" i="42" s="1"/>
  <c r="O22" i="42"/>
  <c r="P22" i="42" s="1"/>
  <c r="Q22" i="42" s="1"/>
  <c r="R22" i="42" s="1"/>
  <c r="S22" i="42" s="1"/>
  <c r="T22" i="42" s="1"/>
  <c r="P17" i="42"/>
  <c r="Q17" i="42" s="1"/>
  <c r="R17" i="42" s="1"/>
  <c r="S17" i="42" s="1"/>
  <c r="T17" i="42" s="1"/>
  <c r="O16" i="42"/>
  <c r="P16" i="42" s="1"/>
  <c r="Q16" i="42" s="1"/>
  <c r="R16" i="42" s="1"/>
  <c r="S16" i="42" s="1"/>
  <c r="T16" i="42" s="1"/>
  <c r="O14" i="42"/>
  <c r="Q13" i="42"/>
  <c r="R13" i="42" s="1"/>
  <c r="S13" i="42" s="1"/>
  <c r="T13" i="42" s="1"/>
  <c r="O12" i="42"/>
  <c r="O11" i="42"/>
  <c r="O69" i="42" l="1"/>
  <c r="P69" i="42" s="1"/>
  <c r="Q69" i="42" s="1"/>
  <c r="R69" i="42" s="1"/>
  <c r="S69" i="42" s="1"/>
  <c r="T69" i="42" s="1"/>
  <c r="O74" i="42"/>
  <c r="O82" i="42" s="1"/>
  <c r="S75" i="42"/>
  <c r="T75" i="42" s="1"/>
  <c r="P14" i="42"/>
  <c r="P57" i="42"/>
  <c r="P12" i="42"/>
  <c r="P11" i="42"/>
  <c r="K88" i="38"/>
  <c r="J53" i="38"/>
  <c r="O126" i="42"/>
  <c r="P127" i="42"/>
  <c r="P126" i="42" s="1"/>
  <c r="P41" i="42"/>
  <c r="Q76" i="42"/>
  <c r="O78" i="42"/>
  <c r="P32" i="42"/>
  <c r="P27" i="42"/>
  <c r="P53" i="42"/>
  <c r="O109" i="42"/>
  <c r="O113" i="42"/>
  <c r="O114" i="42" s="1"/>
  <c r="P74" i="42"/>
  <c r="O83" i="42" l="1"/>
  <c r="Q78" i="42"/>
  <c r="R76" i="42"/>
  <c r="Q14" i="42"/>
  <c r="P82" i="42"/>
  <c r="Q57" i="42"/>
  <c r="Q11" i="42"/>
  <c r="Q12" i="42"/>
  <c r="Q127" i="42"/>
  <c r="L88" i="38"/>
  <c r="K53" i="38"/>
  <c r="P36" i="42"/>
  <c r="O37" i="42"/>
  <c r="P37" i="42" s="1"/>
  <c r="P29" i="42"/>
  <c r="P40" i="42"/>
  <c r="Q74" i="42"/>
  <c r="R74" i="42" s="1"/>
  <c r="S74" i="42" s="1"/>
  <c r="T74" i="42" s="1"/>
  <c r="P68" i="42"/>
  <c r="P34" i="42"/>
  <c r="O105" i="42"/>
  <c r="P30" i="42"/>
  <c r="Q41" i="42"/>
  <c r="R41" i="42" s="1"/>
  <c r="S41" i="42" s="1"/>
  <c r="T41" i="42" s="1"/>
  <c r="O35" i="42"/>
  <c r="Q27" i="42"/>
  <c r="R27" i="42" s="1"/>
  <c r="S27" i="42" s="1"/>
  <c r="T27" i="42" s="1"/>
  <c r="P58" i="42"/>
  <c r="P113" i="42" s="1"/>
  <c r="P114" i="42" s="1"/>
  <c r="P44" i="42"/>
  <c r="P15" i="42"/>
  <c r="P109" i="42" s="1"/>
  <c r="P31" i="42"/>
  <c r="P38" i="42"/>
  <c r="Q53" i="42"/>
  <c r="R53" i="42" s="1"/>
  <c r="S53" i="42" s="1"/>
  <c r="T53" i="42" s="1"/>
  <c r="P78" i="42"/>
  <c r="P28" i="42"/>
  <c r="Q32" i="42"/>
  <c r="R32" i="42" s="1"/>
  <c r="S32" i="42" s="1"/>
  <c r="T32" i="42" s="1"/>
  <c r="S76" i="42" l="1"/>
  <c r="R78" i="42"/>
  <c r="R14" i="42"/>
  <c r="Q82" i="42"/>
  <c r="Q126" i="42"/>
  <c r="R127" i="42"/>
  <c r="R57" i="42"/>
  <c r="S57" i="42" s="1"/>
  <c r="T57" i="42" s="1"/>
  <c r="R12" i="42"/>
  <c r="S12" i="42" s="1"/>
  <c r="T12" i="42" s="1"/>
  <c r="R11" i="42"/>
  <c r="S11" i="42" s="1"/>
  <c r="T11" i="42" s="1"/>
  <c r="Q36" i="42"/>
  <c r="R36" i="42" s="1"/>
  <c r="S36" i="42" s="1"/>
  <c r="T36" i="42" s="1"/>
  <c r="M88" i="38"/>
  <c r="L53" i="38"/>
  <c r="Q44" i="42"/>
  <c r="R44" i="42" s="1"/>
  <c r="S44" i="42" s="1"/>
  <c r="T44" i="42" s="1"/>
  <c r="Q37" i="42"/>
  <c r="R37" i="42" s="1"/>
  <c r="S37" i="42" s="1"/>
  <c r="T37" i="42" s="1"/>
  <c r="P35" i="42"/>
  <c r="O42" i="42"/>
  <c r="Q15" i="42"/>
  <c r="R15" i="42" s="1"/>
  <c r="S15" i="42" s="1"/>
  <c r="T15" i="42" s="1"/>
  <c r="Q40" i="42"/>
  <c r="R40" i="42" s="1"/>
  <c r="S40" i="42" s="1"/>
  <c r="T40" i="42" s="1"/>
  <c r="Q30" i="42"/>
  <c r="R30" i="42" s="1"/>
  <c r="S30" i="42" s="1"/>
  <c r="T30" i="42" s="1"/>
  <c r="Q29" i="42"/>
  <c r="R29" i="42" s="1"/>
  <c r="S29" i="42" s="1"/>
  <c r="T29" i="42" s="1"/>
  <c r="Q31" i="42"/>
  <c r="R31" i="42" s="1"/>
  <c r="S31" i="42" s="1"/>
  <c r="T31" i="42" s="1"/>
  <c r="Q58" i="42"/>
  <c r="R58" i="42" s="1"/>
  <c r="S58" i="42" s="1"/>
  <c r="T58" i="42" s="1"/>
  <c r="Q34" i="42"/>
  <c r="R34" i="42" s="1"/>
  <c r="S34" i="42" s="1"/>
  <c r="T34" i="42" s="1"/>
  <c r="Q28" i="42"/>
  <c r="R28" i="42" s="1"/>
  <c r="S28" i="42" s="1"/>
  <c r="T28" i="42" s="1"/>
  <c r="Q38" i="42"/>
  <c r="R38" i="42" s="1"/>
  <c r="S38" i="42" s="1"/>
  <c r="T38" i="42" s="1"/>
  <c r="P105" i="42"/>
  <c r="Q68" i="42"/>
  <c r="R68" i="42" s="1"/>
  <c r="S68" i="42" s="1"/>
  <c r="T68" i="42" s="1"/>
  <c r="T113" i="42" l="1"/>
  <c r="T114" i="42" s="1"/>
  <c r="S78" i="42"/>
  <c r="T76" i="42"/>
  <c r="T78" i="42" s="1"/>
  <c r="T109" i="42"/>
  <c r="S113" i="42"/>
  <c r="S114" i="42" s="1"/>
  <c r="R126" i="42"/>
  <c r="S127" i="42"/>
  <c r="S109" i="42"/>
  <c r="R82" i="42"/>
  <c r="S14" i="42"/>
  <c r="Q109" i="42"/>
  <c r="R109" i="42"/>
  <c r="Q113" i="42"/>
  <c r="Q114" i="42" s="1"/>
  <c r="R113" i="42"/>
  <c r="R114" i="42" s="1"/>
  <c r="N88" i="38"/>
  <c r="M53" i="38"/>
  <c r="Q35" i="42"/>
  <c r="R35" i="42" s="1"/>
  <c r="S35" i="42" s="1"/>
  <c r="T35" i="42" s="1"/>
  <c r="Q105" i="42"/>
  <c r="R105" i="42" s="1"/>
  <c r="S105" i="42" s="1"/>
  <c r="T105" i="42" s="1"/>
  <c r="P42" i="42"/>
  <c r="O21" i="42"/>
  <c r="S126" i="42" l="1"/>
  <c r="T127" i="42"/>
  <c r="T126" i="42" s="1"/>
  <c r="S82" i="42"/>
  <c r="T14" i="42"/>
  <c r="T82" i="42" s="1"/>
  <c r="O88" i="38"/>
  <c r="O53" i="38" s="1"/>
  <c r="N53" i="38"/>
  <c r="P21" i="42"/>
  <c r="O20" i="42"/>
  <c r="O54" i="42"/>
  <c r="O87" i="42" s="1"/>
  <c r="O117" i="42" s="1"/>
  <c r="Q42" i="42"/>
  <c r="R42" i="42" s="1"/>
  <c r="S42" i="42" s="1"/>
  <c r="T42" i="42" s="1"/>
  <c r="O25" i="42" l="1"/>
  <c r="P83" i="42" s="1"/>
  <c r="P20" i="42"/>
  <c r="Q21" i="42"/>
  <c r="R21" i="42" s="1"/>
  <c r="S21" i="42" s="1"/>
  <c r="T21" i="42" s="1"/>
  <c r="P54" i="42"/>
  <c r="P87" i="42" s="1"/>
  <c r="P117" i="42" s="1"/>
  <c r="T20" i="42" l="1"/>
  <c r="T25" i="42" s="1"/>
  <c r="T54" i="42"/>
  <c r="T87" i="42" s="1"/>
  <c r="T117" i="42" s="1"/>
  <c r="S20" i="42"/>
  <c r="S25" i="42" s="1"/>
  <c r="T83" i="42" s="1"/>
  <c r="S54" i="42"/>
  <c r="S87" i="42" s="1"/>
  <c r="S117" i="42" s="1"/>
  <c r="R20" i="42"/>
  <c r="R25" i="42" s="1"/>
  <c r="S83" i="42" s="1"/>
  <c r="R54" i="42"/>
  <c r="R87" i="42" s="1"/>
  <c r="R117" i="42" s="1"/>
  <c r="Q20" i="42"/>
  <c r="Q54" i="42"/>
  <c r="Q87" i="42" s="1"/>
  <c r="Q117" i="42" s="1"/>
  <c r="P25" i="42"/>
  <c r="Q83" i="42" s="1"/>
  <c r="O123" i="42"/>
  <c r="O124" i="42"/>
  <c r="O125" i="42"/>
  <c r="O46" i="42"/>
  <c r="O115" i="42" s="1"/>
  <c r="T123" i="42" l="1"/>
  <c r="T124" i="42"/>
  <c r="T125" i="42"/>
  <c r="T46" i="42"/>
  <c r="T115" i="42" s="1"/>
  <c r="S124" i="42"/>
  <c r="S46" i="42"/>
  <c r="S115" i="42" s="1"/>
  <c r="S123" i="42"/>
  <c r="S125" i="42"/>
  <c r="R124" i="42"/>
  <c r="R46" i="42"/>
  <c r="R115" i="42" s="1"/>
  <c r="R123" i="42"/>
  <c r="R125" i="42"/>
  <c r="O156" i="42"/>
  <c r="P156" i="42" s="1"/>
  <c r="Q156" i="42" s="1"/>
  <c r="R156" i="42" s="1"/>
  <c r="S156" i="42" s="1"/>
  <c r="T156" i="42" s="1"/>
  <c r="O122" i="42"/>
  <c r="Q25" i="42"/>
  <c r="R83" i="42" s="1"/>
  <c r="P125" i="42"/>
  <c r="P123" i="42"/>
  <c r="P46" i="42"/>
  <c r="P115" i="42" s="1"/>
  <c r="P124" i="42"/>
  <c r="T122" i="42" l="1"/>
  <c r="S122" i="42"/>
  <c r="R122" i="42"/>
  <c r="O153" i="42"/>
  <c r="P153" i="42" s="1"/>
  <c r="Q153" i="42" s="1"/>
  <c r="R153" i="42" s="1"/>
  <c r="S153" i="42" s="1"/>
  <c r="T153" i="42" s="1"/>
  <c r="Q125" i="42"/>
  <c r="Q124" i="42"/>
  <c r="Q123" i="42"/>
  <c r="Q46" i="42"/>
  <c r="Q115" i="42" s="1"/>
  <c r="P122" i="42"/>
  <c r="Q122" i="42" l="1"/>
  <c r="C52" i="36" l="1"/>
  <c r="C51" i="36"/>
  <c r="C50" i="36"/>
  <c r="C46" i="36"/>
  <c r="C45" i="36"/>
  <c r="C44" i="36"/>
  <c r="C43" i="36"/>
  <c r="C42" i="36"/>
  <c r="C41" i="36"/>
  <c r="C40" i="36"/>
  <c r="C39" i="36"/>
  <c r="C37" i="36"/>
  <c r="C36" i="36"/>
  <c r="C35" i="36"/>
  <c r="C34" i="36"/>
  <c r="C33" i="36"/>
  <c r="C32" i="36"/>
  <c r="C27" i="36"/>
  <c r="C26" i="36"/>
  <c r="C25" i="36"/>
  <c r="C24" i="36"/>
  <c r="C23" i="36"/>
  <c r="C19" i="36"/>
  <c r="C17" i="36"/>
  <c r="C16" i="36"/>
  <c r="C14" i="36"/>
  <c r="B88" i="46" l="1"/>
  <c r="F18" i="46" l="1"/>
  <c r="E18" i="46"/>
  <c r="D18" i="46"/>
  <c r="C18" i="46"/>
  <c r="F389" i="2" l="1"/>
  <c r="AD389" i="2" s="1"/>
  <c r="F328" i="2"/>
  <c r="AD328" i="2" s="1"/>
  <c r="F175" i="2"/>
  <c r="AD175" i="2" s="1"/>
  <c r="F170" i="2"/>
  <c r="F50" i="2"/>
  <c r="AD50" i="2" s="1"/>
  <c r="F17" i="2"/>
  <c r="AD17" i="2" s="1"/>
  <c r="F16" i="2"/>
  <c r="AD16" i="2" s="1"/>
  <c r="F15" i="2"/>
  <c r="AD15" i="2" s="1"/>
  <c r="H23" i="41" l="1"/>
  <c r="H24" i="25"/>
  <c r="F26" i="2"/>
  <c r="AD26" i="2" s="1"/>
  <c r="F52" i="2"/>
  <c r="AD52" i="2" s="1"/>
  <c r="F140" i="2" l="1"/>
  <c r="AD140" i="2" s="1"/>
  <c r="F111" i="2"/>
  <c r="F84" i="2"/>
  <c r="AD84" i="2" s="1"/>
  <c r="F94" i="2"/>
  <c r="AD94" i="2" s="1"/>
  <c r="F99" i="2"/>
  <c r="AD99" i="2" s="1"/>
  <c r="F75" i="2"/>
  <c r="AD75" i="2" s="1"/>
  <c r="F121" i="2"/>
  <c r="E3" i="45"/>
  <c r="E14" i="45" s="1"/>
  <c r="E25" i="45" s="1"/>
  <c r="E36" i="45" s="1"/>
  <c r="E47" i="45" s="1"/>
  <c r="F392" i="2"/>
  <c r="AD392" i="2" s="1"/>
  <c r="F57" i="2"/>
  <c r="AD57" i="2" s="1"/>
  <c r="F180" i="2"/>
  <c r="AD180" i="2" s="1"/>
  <c r="F63" i="2"/>
  <c r="AD63" i="2" s="1"/>
  <c r="F172" i="2"/>
  <c r="AD172" i="2" s="1"/>
  <c r="F36" i="2"/>
  <c r="AD36" i="2" s="1"/>
  <c r="F323" i="2"/>
  <c r="AD323" i="2" s="1"/>
  <c r="F376" i="2"/>
  <c r="AD376" i="2" s="1"/>
  <c r="F380" i="2"/>
  <c r="AD380" i="2" s="1"/>
  <c r="F128" i="2" l="1"/>
  <c r="AD128" i="2" s="1"/>
  <c r="F185" i="2"/>
  <c r="AD185" i="2" s="1"/>
  <c r="F164" i="2"/>
  <c r="AD164" i="2" s="1"/>
  <c r="F41" i="2"/>
  <c r="AD41" i="2" s="1"/>
  <c r="F193" i="2"/>
  <c r="AD202" i="2" s="1"/>
  <c r="F334" i="2"/>
  <c r="AD334" i="2" s="1"/>
  <c r="F395" i="2"/>
  <c r="F44" i="2" l="1"/>
  <c r="F168" i="2"/>
  <c r="AD168" i="2" s="1"/>
  <c r="F49" i="2"/>
  <c r="AD49" i="2" s="1"/>
  <c r="F219" i="2"/>
  <c r="F240" i="2" s="1"/>
  <c r="F253" i="2" s="1"/>
  <c r="F263" i="2" s="1"/>
  <c r="F271" i="2" s="1"/>
  <c r="AD271" i="2" s="1"/>
  <c r="F339" i="2"/>
  <c r="AD339" i="2" s="1"/>
  <c r="AD44" i="2" l="1"/>
  <c r="H77" i="25"/>
  <c r="G400" i="20"/>
  <c r="F284" i="2"/>
  <c r="AD284" i="2" s="1"/>
  <c r="D89" i="36"/>
  <c r="D40" i="36"/>
  <c r="D39" i="36"/>
  <c r="D37" i="36"/>
  <c r="F303" i="2" l="1"/>
  <c r="AD303" i="2" s="1"/>
  <c r="D9" i="36"/>
  <c r="F313" i="2" l="1"/>
  <c r="AD313" i="2" s="1"/>
  <c r="A4" i="36"/>
  <c r="F350" i="2" l="1"/>
  <c r="AD350" i="2" s="1"/>
  <c r="F362" i="2" l="1"/>
  <c r="AD362" i="2" s="1"/>
  <c r="F368" i="2" l="1"/>
  <c r="AD368" i="2" s="1"/>
  <c r="P38" i="45" l="1"/>
  <c r="O38" i="45"/>
  <c r="N38" i="45"/>
  <c r="L38" i="45"/>
  <c r="D57" i="25" l="1"/>
  <c r="C57" i="41" s="1"/>
  <c r="A1" i="46" l="1"/>
  <c r="C3" i="46"/>
  <c r="A1" i="36"/>
  <c r="C87" i="36"/>
  <c r="C28" i="36" l="1"/>
  <c r="C53" i="36"/>
  <c r="C47" i="36"/>
  <c r="C54" i="36" l="1"/>
  <c r="D61" i="36" l="1"/>
  <c r="C61" i="36" s="1"/>
  <c r="D52" i="36"/>
  <c r="D51" i="36"/>
  <c r="D45" i="36"/>
  <c r="D44" i="36"/>
  <c r="D43" i="36"/>
  <c r="D42" i="36"/>
  <c r="D41" i="36"/>
  <c r="D26" i="36"/>
  <c r="D25" i="36"/>
  <c r="D23" i="36"/>
  <c r="E328" i="2"/>
  <c r="E175" i="2"/>
  <c r="E170" i="2"/>
  <c r="E50" i="2"/>
  <c r="E17" i="2"/>
  <c r="E16" i="2"/>
  <c r="E15" i="2"/>
  <c r="G23" i="41" l="1"/>
  <c r="C67" i="36"/>
  <c r="D67" i="36"/>
  <c r="C71" i="36"/>
  <c r="D71" i="36"/>
  <c r="C68" i="36"/>
  <c r="D68" i="36"/>
  <c r="C64" i="36"/>
  <c r="D64" i="36"/>
  <c r="C69" i="36"/>
  <c r="D69" i="36"/>
  <c r="C65" i="36"/>
  <c r="D65" i="36"/>
  <c r="C70" i="36"/>
  <c r="D70" i="36"/>
  <c r="E52" i="2"/>
  <c r="E26" i="2"/>
  <c r="E99" i="2" l="1"/>
  <c r="E84" i="2"/>
  <c r="E75" i="2"/>
  <c r="E140" i="2"/>
  <c r="E121" i="2"/>
  <c r="E94" i="2"/>
  <c r="E111" i="2"/>
  <c r="E57" i="2"/>
  <c r="E68" i="36"/>
  <c r="F68" i="36" s="1"/>
  <c r="E69" i="36"/>
  <c r="F69" i="36" s="1"/>
  <c r="E70" i="36"/>
  <c r="F70" i="36" s="1"/>
  <c r="E67" i="36"/>
  <c r="F67" i="36" s="1"/>
  <c r="E65" i="36"/>
  <c r="F65" i="36" s="1"/>
  <c r="E64" i="36"/>
  <c r="F64" i="36" s="1"/>
  <c r="E71" i="36"/>
  <c r="F71" i="36" s="1"/>
  <c r="E36" i="2"/>
  <c r="E63" i="2"/>
  <c r="D3" i="45"/>
  <c r="D14" i="45" s="1"/>
  <c r="D25" i="45" s="1"/>
  <c r="D36" i="45" s="1"/>
  <c r="D47" i="45" s="1"/>
  <c r="E180" i="2"/>
  <c r="E323" i="2"/>
  <c r="E376" i="2"/>
  <c r="E172" i="2"/>
  <c r="E380" i="2"/>
  <c r="E392" i="2"/>
  <c r="E128" i="2" l="1"/>
  <c r="E185" i="2"/>
  <c r="E164" i="2"/>
  <c r="E395" i="2"/>
  <c r="E334" i="2"/>
  <c r="E193" i="2"/>
  <c r="E41" i="2"/>
  <c r="E44" i="2" l="1"/>
  <c r="E168" i="2"/>
  <c r="E219" i="2"/>
  <c r="E240" i="2" s="1"/>
  <c r="E253" i="2" s="1"/>
  <c r="E263" i="2" s="1"/>
  <c r="E271" i="2" s="1"/>
  <c r="E49" i="2"/>
  <c r="E339" i="2"/>
  <c r="F400" i="20" l="1"/>
  <c r="E284" i="2"/>
  <c r="E303" i="2" l="1"/>
  <c r="E313" i="2" l="1"/>
  <c r="E350" i="2" l="1"/>
  <c r="E362" i="2" l="1"/>
  <c r="E368" i="2" l="1"/>
  <c r="D328" i="2" l="1"/>
  <c r="D175" i="2"/>
  <c r="D170" i="2"/>
  <c r="D50" i="2"/>
  <c r="D42" i="2"/>
  <c r="D17" i="2"/>
  <c r="D16" i="2"/>
  <c r="D15" i="2"/>
  <c r="D26" i="2" l="1"/>
  <c r="D52" i="2"/>
  <c r="D99" i="2" l="1"/>
  <c r="D121" i="2"/>
  <c r="D75" i="2"/>
  <c r="D140" i="2"/>
  <c r="D128" i="2" s="1"/>
  <c r="D94" i="2"/>
  <c r="D111" i="2"/>
  <c r="D84" i="2"/>
  <c r="D36" i="2"/>
  <c r="D57" i="2"/>
  <c r="D172" i="2"/>
  <c r="D164" i="2" s="1"/>
  <c r="D168" i="2" s="1"/>
  <c r="D323" i="2"/>
  <c r="D376" i="2"/>
  <c r="D180" i="2"/>
  <c r="D185" i="2" s="1"/>
  <c r="D63" i="2"/>
  <c r="D380" i="2"/>
  <c r="D392" i="2"/>
  <c r="A1" i="39"/>
  <c r="AC305" i="2"/>
  <c r="D395" i="2" l="1"/>
  <c r="D193" i="2"/>
  <c r="D41" i="2"/>
  <c r="D334" i="2"/>
  <c r="D219" i="2" l="1"/>
  <c r="D240" i="2" s="1"/>
  <c r="D253" i="2" s="1"/>
  <c r="D263" i="2" s="1"/>
  <c r="D271" i="2" s="1"/>
  <c r="D339" i="2"/>
  <c r="D49" i="2"/>
  <c r="H35" i="41" l="1"/>
  <c r="D284" i="2"/>
  <c r="D303" i="2" l="1"/>
  <c r="D313" i="2" l="1"/>
  <c r="D350" i="2" l="1"/>
  <c r="D362" i="2" l="1"/>
  <c r="D368" i="2" l="1"/>
  <c r="G34" i="41" l="1"/>
  <c r="H34" i="41" l="1"/>
  <c r="AC393" i="2"/>
  <c r="I34" i="41" l="1"/>
  <c r="F41" i="39"/>
  <c r="G41" i="39" s="1"/>
  <c r="F40" i="39"/>
  <c r="F39" i="39"/>
  <c r="G39" i="39" s="1"/>
  <c r="F38" i="39"/>
  <c r="F37" i="39"/>
  <c r="J34" i="41" l="1"/>
  <c r="G38" i="39"/>
  <c r="G37" i="39"/>
  <c r="H41" i="39"/>
  <c r="H39" i="39"/>
  <c r="I39" i="39" s="1"/>
  <c r="G40" i="39"/>
  <c r="H40" i="39" s="1"/>
  <c r="K34" i="41" l="1"/>
  <c r="I40" i="39"/>
  <c r="J40" i="39" s="1"/>
  <c r="H38" i="39"/>
  <c r="I38" i="39" s="1"/>
  <c r="J38" i="39" s="1"/>
  <c r="J39" i="39"/>
  <c r="H37" i="39"/>
  <c r="I37" i="39" s="1"/>
  <c r="I41" i="39"/>
  <c r="J41" i="39" s="1"/>
  <c r="J37" i="39" l="1"/>
  <c r="D76" i="36" l="1"/>
  <c r="K85" i="41"/>
  <c r="K88" i="41" s="1"/>
  <c r="E76" i="36" l="1"/>
  <c r="F76" i="36" s="1"/>
  <c r="D21" i="45" l="1"/>
  <c r="D55" i="45"/>
  <c r="AC380" i="2"/>
  <c r="AC381" i="2"/>
  <c r="AC382" i="2"/>
  <c r="AC383" i="2"/>
  <c r="AC384" i="2"/>
  <c r="AC385" i="2"/>
  <c r="AC386" i="2"/>
  <c r="AC387" i="2"/>
  <c r="AC388" i="2"/>
  <c r="AC389" i="2"/>
  <c r="AC377" i="2"/>
  <c r="AC368" i="2"/>
  <c r="AC369" i="2"/>
  <c r="AC362" i="2"/>
  <c r="AC363" i="2"/>
  <c r="AC364" i="2"/>
  <c r="AC365" i="2"/>
  <c r="AC350" i="2"/>
  <c r="AC351" i="2"/>
  <c r="AC352" i="2"/>
  <c r="AC353" i="2"/>
  <c r="AC354" i="2"/>
  <c r="AC355" i="2"/>
  <c r="AC339" i="2"/>
  <c r="AC340" i="2"/>
  <c r="AC334" i="2"/>
  <c r="AC335" i="2"/>
  <c r="AC323" i="2"/>
  <c r="AC324" i="2"/>
  <c r="AC325" i="2"/>
  <c r="AC326" i="2"/>
  <c r="AC327" i="2"/>
  <c r="AC328" i="2"/>
  <c r="AC318" i="2"/>
  <c r="AC317" i="2"/>
  <c r="AC316" i="2"/>
  <c r="AC313" i="2"/>
  <c r="AC314" i="2"/>
  <c r="AC303" i="2"/>
  <c r="AC304" i="2"/>
  <c r="AC307" i="2"/>
  <c r="AC308" i="2"/>
  <c r="AC284" i="2"/>
  <c r="AC285" i="2"/>
  <c r="AC286" i="2"/>
  <c r="AC287" i="2"/>
  <c r="AC288" i="2"/>
  <c r="AC289" i="2"/>
  <c r="AC290" i="2"/>
  <c r="AC291" i="2"/>
  <c r="AC292" i="2"/>
  <c r="AC293" i="2"/>
  <c r="AC294" i="2"/>
  <c r="AC271" i="2"/>
  <c r="AC272" i="2"/>
  <c r="AC273" i="2"/>
  <c r="AC274" i="2"/>
  <c r="AC275" i="2"/>
  <c r="AC276" i="2"/>
  <c r="AC277" i="2"/>
  <c r="AC202" i="2"/>
  <c r="AC203" i="2"/>
  <c r="AC186" i="2"/>
  <c r="AC175" i="2"/>
  <c r="AC174" i="2"/>
  <c r="AC173" i="2"/>
  <c r="AC172" i="2"/>
  <c r="AC169" i="2"/>
  <c r="AC165" i="2"/>
  <c r="AC164" i="2"/>
  <c r="AC66" i="2"/>
  <c r="AC65" i="2"/>
  <c r="AC64" i="2"/>
  <c r="AC63" i="2"/>
  <c r="AC58" i="2"/>
  <c r="AC57" i="2"/>
  <c r="AC52" i="2"/>
  <c r="AC51" i="2"/>
  <c r="AC50" i="2"/>
  <c r="AC49" i="2"/>
  <c r="AC44" i="2"/>
  <c r="AC43" i="2"/>
  <c r="AC42" i="2"/>
  <c r="AC41" i="2"/>
  <c r="AC37" i="2"/>
  <c r="AC36" i="2"/>
  <c r="AC27" i="2"/>
  <c r="AC26" i="2"/>
  <c r="AC21" i="2"/>
  <c r="AC20" i="2"/>
  <c r="AC19" i="2"/>
  <c r="AC18" i="2"/>
  <c r="AC17" i="2"/>
  <c r="D54" i="45" l="1"/>
  <c r="D43" i="45"/>
  <c r="D32" i="45"/>
  <c r="D33" i="45"/>
  <c r="D22" i="45"/>
  <c r="D44" i="45"/>
  <c r="D20" i="45"/>
  <c r="F86" i="23"/>
  <c r="E86" i="23"/>
  <c r="D86" i="23"/>
  <c r="C86" i="23"/>
  <c r="B86" i="23"/>
  <c r="D196" i="2" l="1"/>
  <c r="E32" i="45"/>
  <c r="F43" i="45"/>
  <c r="E55" i="45"/>
  <c r="F44" i="45"/>
  <c r="D31" i="45"/>
  <c r="D34" i="45" s="1"/>
  <c r="D23" i="45"/>
  <c r="D42" i="45"/>
  <c r="D45" i="45" s="1"/>
  <c r="D53" i="45"/>
  <c r="D56" i="45" s="1"/>
  <c r="E54" i="45"/>
  <c r="E43" i="45"/>
  <c r="E21" i="45"/>
  <c r="E33" i="45"/>
  <c r="E22" i="45"/>
  <c r="E44" i="45"/>
  <c r="D265" i="2" l="1"/>
  <c r="D268" i="2" s="1"/>
  <c r="D203" i="2"/>
  <c r="D221" i="2"/>
  <c r="D226" i="2" s="1"/>
  <c r="F54" i="45"/>
  <c r="F55" i="45"/>
  <c r="F32" i="45"/>
  <c r="F21" i="45"/>
  <c r="E20" i="45"/>
  <c r="E23" i="45" s="1"/>
  <c r="F33" i="45"/>
  <c r="F22" i="45"/>
  <c r="E42" i="45"/>
  <c r="E45" i="45" s="1"/>
  <c r="E53" i="45"/>
  <c r="E56" i="45" s="1"/>
  <c r="E31" i="45"/>
  <c r="E34" i="45" s="1"/>
  <c r="D58" i="45"/>
  <c r="D250" i="2" l="1"/>
  <c r="D206" i="2"/>
  <c r="D205" i="2"/>
  <c r="D257" i="2"/>
  <c r="E257" i="2" s="1"/>
  <c r="D204" i="2"/>
  <c r="G55" i="45"/>
  <c r="H33" i="45"/>
  <c r="H22" i="45"/>
  <c r="H44" i="45"/>
  <c r="G54" i="45"/>
  <c r="H43" i="45"/>
  <c r="G33" i="45"/>
  <c r="G22" i="45"/>
  <c r="G44" i="45"/>
  <c r="G32" i="45"/>
  <c r="F53" i="45"/>
  <c r="F56" i="45" s="1"/>
  <c r="G20" i="45"/>
  <c r="G21" i="45"/>
  <c r="F20" i="45"/>
  <c r="F23" i="45" s="1"/>
  <c r="G43" i="45"/>
  <c r="F42" i="45"/>
  <c r="F45" i="45" s="1"/>
  <c r="F31" i="45"/>
  <c r="F34" i="45" s="1"/>
  <c r="E58" i="45"/>
  <c r="E60" i="45" s="1"/>
  <c r="E61" i="45" s="1"/>
  <c r="E20" i="39"/>
  <c r="D20" i="39"/>
  <c r="F257" i="2" l="1"/>
  <c r="G257" i="2" s="1"/>
  <c r="H257" i="2" s="1"/>
  <c r="I257" i="2" s="1"/>
  <c r="J257" i="2" s="1"/>
  <c r="H54" i="45"/>
  <c r="H32" i="45"/>
  <c r="H21" i="45"/>
  <c r="G23" i="45"/>
  <c r="G53" i="45"/>
  <c r="G56" i="45" s="1"/>
  <c r="H53" i="45"/>
  <c r="H31" i="45"/>
  <c r="H55" i="45"/>
  <c r="G31" i="45"/>
  <c r="G34" i="45" s="1"/>
  <c r="G42" i="45"/>
  <c r="G45" i="45" s="1"/>
  <c r="F58" i="45"/>
  <c r="F60" i="45" s="1"/>
  <c r="F61" i="45" s="1"/>
  <c r="E221" i="2" l="1"/>
  <c r="E265" i="2"/>
  <c r="G58" i="45"/>
  <c r="G60" i="45" s="1"/>
  <c r="G61" i="45" s="1"/>
  <c r="H56" i="45"/>
  <c r="H34" i="45"/>
  <c r="H42" i="45"/>
  <c r="H45" i="45" s="1"/>
  <c r="H20" i="45"/>
  <c r="H23" i="45" s="1"/>
  <c r="E268" i="2" l="1"/>
  <c r="E226" i="2"/>
  <c r="H58" i="45"/>
  <c r="C25" i="38" l="1"/>
  <c r="C23" i="38"/>
  <c r="F61" i="25" l="1"/>
  <c r="E61" i="41" s="1"/>
  <c r="E61" i="25"/>
  <c r="D61" i="41" s="1"/>
  <c r="D61" i="25"/>
  <c r="C61" i="41" s="1"/>
  <c r="F61" i="41" l="1"/>
  <c r="E61" i="36"/>
  <c r="F61" i="36" s="1"/>
  <c r="F72" i="25" l="1"/>
  <c r="E72" i="41" s="1"/>
  <c r="F52" i="25"/>
  <c r="E51" i="41" s="1"/>
  <c r="E52" i="25"/>
  <c r="D51" i="41" s="1"/>
  <c r="D52" i="25"/>
  <c r="C51" i="41" s="1"/>
  <c r="F51" i="25"/>
  <c r="E50" i="41" s="1"/>
  <c r="E51" i="25"/>
  <c r="D50" i="41" s="1"/>
  <c r="D51" i="25"/>
  <c r="C50" i="41" s="1"/>
  <c r="F50" i="25"/>
  <c r="E49" i="41" s="1"/>
  <c r="E50" i="25"/>
  <c r="D49" i="41" s="1"/>
  <c r="D50" i="25"/>
  <c r="C49" i="41" s="1"/>
  <c r="F46" i="25"/>
  <c r="E45" i="41" s="1"/>
  <c r="E46" i="25"/>
  <c r="D45" i="41" s="1"/>
  <c r="D46" i="25"/>
  <c r="C45" i="41" s="1"/>
  <c r="F45" i="25"/>
  <c r="E44" i="41" s="1"/>
  <c r="E45" i="25"/>
  <c r="D44" i="41" s="1"/>
  <c r="D45" i="25"/>
  <c r="C44" i="41" s="1"/>
  <c r="F44" i="25"/>
  <c r="E43" i="41" s="1"/>
  <c r="E44" i="25"/>
  <c r="D43" i="41" s="1"/>
  <c r="D44" i="25"/>
  <c r="C43" i="41" s="1"/>
  <c r="F43" i="25"/>
  <c r="E42" i="41" s="1"/>
  <c r="E43" i="25"/>
  <c r="D42" i="41" s="1"/>
  <c r="D43" i="25"/>
  <c r="C42" i="41" s="1"/>
  <c r="F42" i="25"/>
  <c r="E41" i="41" s="1"/>
  <c r="E42" i="25"/>
  <c r="D41" i="41" s="1"/>
  <c r="D42" i="25"/>
  <c r="C41" i="41" s="1"/>
  <c r="F41" i="25"/>
  <c r="E40" i="41" s="1"/>
  <c r="E41" i="25"/>
  <c r="D40" i="41" s="1"/>
  <c r="D41" i="25"/>
  <c r="C40" i="41" s="1"/>
  <c r="F40" i="25"/>
  <c r="E39" i="41" s="1"/>
  <c r="E40" i="25"/>
  <c r="D39" i="41" s="1"/>
  <c r="D40" i="25"/>
  <c r="C39" i="41" s="1"/>
  <c r="F39" i="25"/>
  <c r="E38" i="41" s="1"/>
  <c r="E39" i="25"/>
  <c r="D38" i="41" s="1"/>
  <c r="D39" i="25"/>
  <c r="C38" i="41" s="1"/>
  <c r="F37" i="25"/>
  <c r="E36" i="41" s="1"/>
  <c r="E37" i="25"/>
  <c r="D36" i="41" s="1"/>
  <c r="D37" i="25"/>
  <c r="C36" i="41" s="1"/>
  <c r="F36" i="25"/>
  <c r="E35" i="41" s="1"/>
  <c r="E36" i="25"/>
  <c r="D35" i="41" s="1"/>
  <c r="D36" i="25"/>
  <c r="C35" i="41" s="1"/>
  <c r="F35" i="25"/>
  <c r="E34" i="41" s="1"/>
  <c r="E35" i="25"/>
  <c r="D34" i="41" s="1"/>
  <c r="D35" i="25"/>
  <c r="C34" i="41" s="1"/>
  <c r="F34" i="25"/>
  <c r="E33" i="41" s="1"/>
  <c r="E34" i="25"/>
  <c r="D33" i="41" s="1"/>
  <c r="D34" i="25"/>
  <c r="C33" i="41" s="1"/>
  <c r="F33" i="25"/>
  <c r="E32" i="41" s="1"/>
  <c r="E33" i="25"/>
  <c r="D32" i="41" s="1"/>
  <c r="D33" i="25"/>
  <c r="C32" i="41" s="1"/>
  <c r="F32" i="25"/>
  <c r="E31" i="41" s="1"/>
  <c r="E32" i="25"/>
  <c r="D31" i="41" s="1"/>
  <c r="D32" i="25"/>
  <c r="C31" i="41" s="1"/>
  <c r="F27" i="25"/>
  <c r="E26" i="41" s="1"/>
  <c r="E27" i="25"/>
  <c r="D26" i="41" s="1"/>
  <c r="D27" i="25"/>
  <c r="C26" i="41" s="1"/>
  <c r="F26" i="25"/>
  <c r="E25" i="41" s="1"/>
  <c r="E26" i="25"/>
  <c r="D25" i="41" s="1"/>
  <c r="D26" i="25"/>
  <c r="C25" i="41" s="1"/>
  <c r="F25" i="25"/>
  <c r="E24" i="41" s="1"/>
  <c r="E25" i="25"/>
  <c r="D24" i="41" s="1"/>
  <c r="D25" i="25"/>
  <c r="C24" i="41" s="1"/>
  <c r="F24" i="25"/>
  <c r="E23" i="41" s="1"/>
  <c r="E24" i="25"/>
  <c r="D23" i="41" s="1"/>
  <c r="D24" i="25"/>
  <c r="C23" i="41" s="1"/>
  <c r="F23" i="25"/>
  <c r="E22" i="41" s="1"/>
  <c r="E23" i="25"/>
  <c r="D22" i="41" s="1"/>
  <c r="D23" i="25"/>
  <c r="C22" i="41" s="1"/>
  <c r="F19" i="25"/>
  <c r="E18" i="41" s="1"/>
  <c r="E19" i="25"/>
  <c r="D18" i="41" s="1"/>
  <c r="D19" i="25"/>
  <c r="C18" i="41" s="1"/>
  <c r="F18" i="25"/>
  <c r="E17" i="41" s="1"/>
  <c r="E18" i="25"/>
  <c r="D17" i="41" s="1"/>
  <c r="D18" i="25"/>
  <c r="C17" i="41" s="1"/>
  <c r="F17" i="25"/>
  <c r="E16" i="41" s="1"/>
  <c r="E17" i="25"/>
  <c r="D16" i="41" s="1"/>
  <c r="D17" i="25"/>
  <c r="C16" i="41" s="1"/>
  <c r="F16" i="25"/>
  <c r="E15" i="41" s="1"/>
  <c r="E16" i="25"/>
  <c r="D15" i="41" s="1"/>
  <c r="D16" i="25"/>
  <c r="C15" i="41" s="1"/>
  <c r="F15" i="25"/>
  <c r="E14" i="41" s="1"/>
  <c r="E15" i="25"/>
  <c r="D14" i="41" s="1"/>
  <c r="D15" i="25"/>
  <c r="C14" i="41" s="1"/>
  <c r="F14" i="25"/>
  <c r="E14" i="25"/>
  <c r="D13" i="41" s="1"/>
  <c r="D14" i="25"/>
  <c r="C13" i="41" s="1"/>
  <c r="F36" i="41" l="1"/>
  <c r="F41" i="41"/>
  <c r="D46" i="41"/>
  <c r="F34" i="41"/>
  <c r="F35" i="41"/>
  <c r="F39" i="41"/>
  <c r="F40" i="41"/>
  <c r="F43" i="41"/>
  <c r="F44" i="41"/>
  <c r="F50" i="41"/>
  <c r="F51" i="41"/>
  <c r="F23" i="41"/>
  <c r="F16" i="41"/>
  <c r="C27" i="41"/>
  <c r="F14" i="41"/>
  <c r="F18" i="41"/>
  <c r="F13" i="41"/>
  <c r="D19" i="41"/>
  <c r="F17" i="41"/>
  <c r="C46" i="41"/>
  <c r="F31" i="41"/>
  <c r="F32" i="41"/>
  <c r="F45" i="41"/>
  <c r="E52" i="41"/>
  <c r="F26" i="41"/>
  <c r="F49" i="41"/>
  <c r="C52" i="41"/>
  <c r="G133" i="20"/>
  <c r="E13" i="41"/>
  <c r="E19" i="41" s="1"/>
  <c r="F15" i="41"/>
  <c r="F22" i="41"/>
  <c r="D27" i="41"/>
  <c r="E46" i="41"/>
  <c r="C19" i="41"/>
  <c r="E27" i="41"/>
  <c r="F24" i="41"/>
  <c r="F25" i="41"/>
  <c r="F33" i="41"/>
  <c r="F38" i="41"/>
  <c r="F42" i="41"/>
  <c r="D52" i="41"/>
  <c r="E25" i="36"/>
  <c r="F25" i="36" s="1"/>
  <c r="E37" i="36"/>
  <c r="F37" i="36" s="1"/>
  <c r="E40" i="36"/>
  <c r="F40" i="36" s="1"/>
  <c r="E42" i="36"/>
  <c r="F42" i="36" s="1"/>
  <c r="E44" i="36"/>
  <c r="F44" i="36" s="1"/>
  <c r="E26" i="36"/>
  <c r="F26" i="36" s="1"/>
  <c r="E39" i="36"/>
  <c r="F39" i="36" s="1"/>
  <c r="E41" i="36"/>
  <c r="F41" i="36" s="1"/>
  <c r="E43" i="36"/>
  <c r="F43" i="36" s="1"/>
  <c r="E45" i="36"/>
  <c r="F45" i="36" s="1"/>
  <c r="E52" i="36"/>
  <c r="F52" i="36" s="1"/>
  <c r="E18" i="39"/>
  <c r="E101" i="20"/>
  <c r="E203" i="20"/>
  <c r="E279" i="20"/>
  <c r="E207" i="20"/>
  <c r="F53" i="25"/>
  <c r="E202" i="20"/>
  <c r="E278" i="20"/>
  <c r="E206" i="20"/>
  <c r="E282" i="20"/>
  <c r="F47" i="25"/>
  <c r="E41" i="20" s="1"/>
  <c r="E277" i="20"/>
  <c r="E201" i="20"/>
  <c r="E205" i="20"/>
  <c r="E281" i="20"/>
  <c r="E100" i="20"/>
  <c r="E280" i="20"/>
  <c r="E204" i="20"/>
  <c r="F28" i="25"/>
  <c r="F20" i="25"/>
  <c r="D53" i="41" l="1"/>
  <c r="E53" i="41"/>
  <c r="F27" i="41"/>
  <c r="C28" i="41"/>
  <c r="B90" i="23" s="1"/>
  <c r="F19" i="41"/>
  <c r="F46" i="41"/>
  <c r="C53" i="41"/>
  <c r="F52" i="41"/>
  <c r="D28" i="41"/>
  <c r="D55" i="41" s="1"/>
  <c r="E28" i="41"/>
  <c r="B91" i="23"/>
  <c r="B89" i="23"/>
  <c r="C91" i="23"/>
  <c r="C89" i="23"/>
  <c r="E51" i="36"/>
  <c r="F51" i="36" s="1"/>
  <c r="E23" i="36"/>
  <c r="F23" i="36" s="1"/>
  <c r="E102" i="20"/>
  <c r="E284" i="20"/>
  <c r="F54" i="25"/>
  <c r="E38" i="20"/>
  <c r="E208" i="20"/>
  <c r="F29" i="25"/>
  <c r="G89" i="25"/>
  <c r="G85" i="25"/>
  <c r="G84" i="25"/>
  <c r="G79" i="25"/>
  <c r="G77" i="25"/>
  <c r="G76" i="25"/>
  <c r="G71" i="25"/>
  <c r="G70" i="25"/>
  <c r="G69" i="25"/>
  <c r="G68" i="25"/>
  <c r="G67" i="25"/>
  <c r="G66" i="25"/>
  <c r="G65" i="25"/>
  <c r="G64" i="25"/>
  <c r="G61" i="25"/>
  <c r="G52" i="25"/>
  <c r="G51" i="25"/>
  <c r="G50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27" i="25"/>
  <c r="G26" i="25"/>
  <c r="G25" i="25"/>
  <c r="G24" i="25"/>
  <c r="G23" i="25"/>
  <c r="G19" i="25"/>
  <c r="G18" i="25"/>
  <c r="G17" i="25"/>
  <c r="G16" i="25"/>
  <c r="G15" i="25"/>
  <c r="G14" i="25"/>
  <c r="G13" i="25"/>
  <c r="G12" i="25"/>
  <c r="G136" i="20"/>
  <c r="G135" i="20"/>
  <c r="G134" i="20"/>
  <c r="E11" i="39" l="1"/>
  <c r="E5" i="20"/>
  <c r="E10" i="39"/>
  <c r="E12" i="39" s="1"/>
  <c r="E4" i="20"/>
  <c r="E55" i="41"/>
  <c r="F53" i="41"/>
  <c r="C90" i="23"/>
  <c r="C55" i="41"/>
  <c r="F28" i="41"/>
  <c r="D92" i="23"/>
  <c r="D91" i="23"/>
  <c r="D90" i="23"/>
  <c r="D89" i="23"/>
  <c r="F76" i="23"/>
  <c r="C27" i="38"/>
  <c r="C28" i="38"/>
  <c r="C11" i="38"/>
  <c r="C30" i="38"/>
  <c r="C13" i="38"/>
  <c r="C31" i="38"/>
  <c r="F55" i="25"/>
  <c r="G138" i="20"/>
  <c r="C59" i="41" l="1"/>
  <c r="B95" i="23" s="1"/>
  <c r="F55" i="41"/>
  <c r="D93" i="23"/>
  <c r="F136" i="20"/>
  <c r="D136" i="20" s="1"/>
  <c r="E74" i="20"/>
  <c r="F77" i="23"/>
  <c r="J405" i="20"/>
  <c r="F134" i="20"/>
  <c r="D134" i="20" s="1"/>
  <c r="D57" i="41" l="1"/>
  <c r="B96" i="23"/>
  <c r="F14" i="38"/>
  <c r="C94" i="23" l="1"/>
  <c r="D59" i="41"/>
  <c r="C20" i="39"/>
  <c r="B22" i="39"/>
  <c r="A22" i="39"/>
  <c r="B20" i="39"/>
  <c r="A20" i="39"/>
  <c r="B16" i="39"/>
  <c r="A16" i="39"/>
  <c r="B14" i="39"/>
  <c r="A14" i="39"/>
  <c r="B12" i="39"/>
  <c r="A12" i="39"/>
  <c r="A11" i="39"/>
  <c r="A10" i="39"/>
  <c r="A2" i="39"/>
  <c r="E57" i="41" l="1"/>
  <c r="C96" i="23"/>
  <c r="C95" i="23"/>
  <c r="D94" i="23" l="1"/>
  <c r="E59" i="41"/>
  <c r="D95" i="23" s="1"/>
  <c r="F57" i="41"/>
  <c r="G57" i="41" l="1"/>
  <c r="E74" i="41"/>
  <c r="D96" i="23"/>
  <c r="F59" i="41"/>
  <c r="E294" i="2"/>
  <c r="G291" i="2"/>
  <c r="AE291" i="2" s="1"/>
  <c r="F293" i="2"/>
  <c r="AD293" i="2" s="1"/>
  <c r="B45" i="38"/>
  <c r="B2" i="38"/>
  <c r="B3" i="38"/>
  <c r="B4" i="38"/>
  <c r="B5" i="38"/>
  <c r="B6" i="38"/>
  <c r="B7" i="38"/>
  <c r="B8" i="38"/>
  <c r="B9" i="38"/>
  <c r="B10" i="38"/>
  <c r="B11" i="38"/>
  <c r="B12" i="38"/>
  <c r="B13" i="38"/>
  <c r="B14" i="38"/>
  <c r="B15" i="38"/>
  <c r="B16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6" i="38"/>
  <c r="B37" i="38"/>
  <c r="B38" i="38"/>
  <c r="B39" i="38"/>
  <c r="B43" i="38"/>
  <c r="E295" i="2" l="1"/>
  <c r="E82" i="41"/>
  <c r="F294" i="2"/>
  <c r="F283" i="2" s="1"/>
  <c r="H291" i="2"/>
  <c r="AF291" i="2" s="1"/>
  <c r="G293" i="2"/>
  <c r="AE293" i="2" s="1"/>
  <c r="F295" i="2" l="1"/>
  <c r="H34" i="25"/>
  <c r="AD294" i="2"/>
  <c r="E92" i="41"/>
  <c r="G294" i="2"/>
  <c r="I291" i="2"/>
  <c r="H293" i="2"/>
  <c r="Q34" i="38"/>
  <c r="Q24" i="38"/>
  <c r="Q17" i="38"/>
  <c r="Q35" i="38"/>
  <c r="Q25" i="38"/>
  <c r="Q23" i="38"/>
  <c r="G295" i="2" l="1"/>
  <c r="AE294" i="2"/>
  <c r="I34" i="25"/>
  <c r="H294" i="2"/>
  <c r="H295" i="2" s="1"/>
  <c r="AF293" i="2"/>
  <c r="J291" i="2"/>
  <c r="AG291" i="2"/>
  <c r="I293" i="2"/>
  <c r="AG293" i="2" l="1"/>
  <c r="J293" i="2"/>
  <c r="AH293" i="2" s="1"/>
  <c r="J34" i="25"/>
  <c r="AF294" i="2"/>
  <c r="AH291" i="2"/>
  <c r="D17" i="36"/>
  <c r="E17" i="36" s="1"/>
  <c r="F17" i="36" s="1"/>
  <c r="G16" i="41"/>
  <c r="I294" i="2"/>
  <c r="H16" i="41"/>
  <c r="J294" i="2" l="1"/>
  <c r="I295" i="2"/>
  <c r="K34" i="25"/>
  <c r="AG294" i="2"/>
  <c r="J295" i="2"/>
  <c r="AH294" i="2"/>
  <c r="L34" i="25"/>
  <c r="I16" i="41"/>
  <c r="J16" i="41" l="1"/>
  <c r="C26" i="38"/>
  <c r="Q26" i="38" s="1"/>
  <c r="Q28" i="38"/>
  <c r="C37" i="38"/>
  <c r="Q37" i="38" s="1"/>
  <c r="Q11" i="38"/>
  <c r="Q27" i="38"/>
  <c r="Q14" i="38"/>
  <c r="Q30" i="38"/>
  <c r="Q13" i="38"/>
  <c r="H31" i="38"/>
  <c r="N31" i="38" s="1"/>
  <c r="E87" i="25"/>
  <c r="E72" i="25"/>
  <c r="D53" i="25"/>
  <c r="E53" i="25"/>
  <c r="E47" i="25"/>
  <c r="D41" i="20" s="1"/>
  <c r="E28" i="25"/>
  <c r="E20" i="25"/>
  <c r="D24" i="36"/>
  <c r="D282" i="20"/>
  <c r="D281" i="20"/>
  <c r="D280" i="20"/>
  <c r="D279" i="20"/>
  <c r="D278" i="20"/>
  <c r="D277" i="20"/>
  <c r="D207" i="20"/>
  <c r="D206" i="20"/>
  <c r="D205" i="20"/>
  <c r="D204" i="20"/>
  <c r="D203" i="20"/>
  <c r="D202" i="20"/>
  <c r="D201" i="20"/>
  <c r="D101" i="20"/>
  <c r="D100" i="20"/>
  <c r="A47" i="23"/>
  <c r="D18" i="39" l="1"/>
  <c r="D72" i="41"/>
  <c r="D74" i="41" s="1"/>
  <c r="D82" i="41" s="1"/>
  <c r="D92" i="41" s="1"/>
  <c r="C92" i="23"/>
  <c r="B92" i="23"/>
  <c r="K16" i="41"/>
  <c r="C93" i="23"/>
  <c r="E24" i="36"/>
  <c r="F24" i="36" s="1"/>
  <c r="B70" i="23"/>
  <c r="B88" i="23" s="1"/>
  <c r="C88" i="23" s="1"/>
  <c r="D88" i="23" s="1"/>
  <c r="E88" i="23" s="1"/>
  <c r="F88" i="23" s="1"/>
  <c r="G88" i="23" s="1"/>
  <c r="H88" i="23" s="1"/>
  <c r="I88" i="23" s="1"/>
  <c r="G53" i="25"/>
  <c r="E54" i="25"/>
  <c r="D5" i="20" s="1"/>
  <c r="Q31" i="38"/>
  <c r="E29" i="25"/>
  <c r="D4" i="20" s="1"/>
  <c r="D38" i="20"/>
  <c r="F138" i="20"/>
  <c r="D102" i="20"/>
  <c r="D284" i="20"/>
  <c r="E283" i="20" s="1"/>
  <c r="D208" i="20"/>
  <c r="B93" i="23" l="1"/>
  <c r="D11" i="39"/>
  <c r="D10" i="39"/>
  <c r="E77" i="23"/>
  <c r="E76" i="23"/>
  <c r="I405" i="20"/>
  <c r="E55" i="25"/>
  <c r="D74" i="20" l="1"/>
  <c r="D12" i="39"/>
  <c r="D87" i="25" l="1"/>
  <c r="D72" i="25"/>
  <c r="C72" i="41" s="1"/>
  <c r="D47" i="25"/>
  <c r="D28" i="25"/>
  <c r="G28" i="25" s="1"/>
  <c r="F72" i="41" l="1"/>
  <c r="C74" i="41"/>
  <c r="G47" i="25"/>
  <c r="C41" i="20"/>
  <c r="G87" i="25"/>
  <c r="C18" i="39"/>
  <c r="G72" i="25"/>
  <c r="D54" i="25"/>
  <c r="C5" i="20" s="1"/>
  <c r="C82" i="41" l="1"/>
  <c r="F74" i="41"/>
  <c r="C11" i="39"/>
  <c r="G54" i="25"/>
  <c r="C92" i="41" l="1"/>
  <c r="F92" i="41" s="1"/>
  <c r="F82" i="41"/>
  <c r="C282" i="20"/>
  <c r="C281" i="20"/>
  <c r="C280" i="20"/>
  <c r="C279" i="20"/>
  <c r="C278" i="20"/>
  <c r="C277" i="20"/>
  <c r="C101" i="20"/>
  <c r="C38" i="20"/>
  <c r="C74" i="20" l="1"/>
  <c r="C284" i="20"/>
  <c r="D283" i="20" s="1"/>
  <c r="D76" i="23" l="1"/>
  <c r="D77" i="23"/>
  <c r="H405" i="20"/>
  <c r="B149" i="22" l="1"/>
  <c r="B145" i="22"/>
  <c r="B138" i="22"/>
  <c r="C138" i="22" s="1"/>
  <c r="C136" i="22"/>
  <c r="C134" i="22"/>
  <c r="C132" i="22"/>
  <c r="D85" i="22"/>
  <c r="G54" i="22"/>
  <c r="F54" i="22"/>
  <c r="E54" i="22"/>
  <c r="D54" i="22"/>
  <c r="D53" i="22"/>
  <c r="H50" i="22"/>
  <c r="G50" i="22"/>
  <c r="F50" i="22"/>
  <c r="E50" i="22"/>
  <c r="D50" i="22"/>
  <c r="D104" i="22" s="1"/>
  <c r="C44" i="22"/>
  <c r="H44" i="22" s="1"/>
  <c r="C43" i="22"/>
  <c r="H43" i="22" s="1"/>
  <c r="C42" i="22"/>
  <c r="I42" i="22" s="1"/>
  <c r="C41" i="22"/>
  <c r="I41" i="22" s="1"/>
  <c r="C40" i="22"/>
  <c r="K40" i="22" s="1"/>
  <c r="K111" i="22" s="1"/>
  <c r="C39" i="22"/>
  <c r="K39" i="22" s="1"/>
  <c r="C38" i="22"/>
  <c r="H38" i="22" s="1"/>
  <c r="C37" i="22"/>
  <c r="H37" i="22" s="1"/>
  <c r="K36" i="22"/>
  <c r="J36" i="22"/>
  <c r="I36" i="22"/>
  <c r="H36" i="22"/>
  <c r="G36" i="22"/>
  <c r="F36" i="22"/>
  <c r="E36" i="22"/>
  <c r="D36" i="22"/>
  <c r="C32" i="22"/>
  <c r="H32" i="22" s="1"/>
  <c r="C31" i="22"/>
  <c r="H31" i="22" s="1"/>
  <c r="C30" i="22"/>
  <c r="I30" i="22" s="1"/>
  <c r="C29" i="22"/>
  <c r="I29" i="22" s="1"/>
  <c r="I99" i="22" s="1"/>
  <c r="C28" i="22"/>
  <c r="J28" i="22" s="1"/>
  <c r="J87" i="22" s="1"/>
  <c r="C27" i="22"/>
  <c r="K27" i="22" s="1"/>
  <c r="C26" i="22"/>
  <c r="H26" i="22" s="1"/>
  <c r="H63" i="22" s="1"/>
  <c r="C25" i="22"/>
  <c r="H25" i="22" s="1"/>
  <c r="K24" i="22"/>
  <c r="J24" i="22"/>
  <c r="I24" i="22"/>
  <c r="H24" i="22"/>
  <c r="G24" i="22"/>
  <c r="F24" i="22"/>
  <c r="E24" i="22"/>
  <c r="D24" i="22"/>
  <c r="D56" i="22" l="1"/>
  <c r="I37" i="22"/>
  <c r="I44" i="22"/>
  <c r="G38" i="22"/>
  <c r="E44" i="22"/>
  <c r="D44" i="22" s="1"/>
  <c r="J26" i="22"/>
  <c r="G37" i="22"/>
  <c r="I38" i="22"/>
  <c r="G44" i="22"/>
  <c r="D92" i="22"/>
  <c r="F25" i="22"/>
  <c r="F29" i="22"/>
  <c r="F99" i="22" s="1"/>
  <c r="E31" i="22"/>
  <c r="D31" i="22" s="1"/>
  <c r="G43" i="22"/>
  <c r="I27" i="22"/>
  <c r="H29" i="22"/>
  <c r="H99" i="22" s="1"/>
  <c r="D41" i="22"/>
  <c r="I43" i="22"/>
  <c r="F26" i="22"/>
  <c r="E38" i="22"/>
  <c r="D38" i="22" s="1"/>
  <c r="D39" i="22"/>
  <c r="I28" i="22"/>
  <c r="I87" i="22" s="1"/>
  <c r="K31" i="22"/>
  <c r="I32" i="22"/>
  <c r="J39" i="22"/>
  <c r="J41" i="22"/>
  <c r="K32" i="22"/>
  <c r="J25" i="22"/>
  <c r="E28" i="22"/>
  <c r="D28" i="22" s="1"/>
  <c r="J29" i="22"/>
  <c r="F39" i="22"/>
  <c r="F41" i="22"/>
  <c r="K43" i="22"/>
  <c r="D61" i="22"/>
  <c r="K28" i="22"/>
  <c r="K87" i="22" s="1"/>
  <c r="G31" i="22"/>
  <c r="E32" i="22"/>
  <c r="D32" i="22" s="1"/>
  <c r="K37" i="22"/>
  <c r="E40" i="22"/>
  <c r="E111" i="22" s="1"/>
  <c r="E116" i="22" s="1"/>
  <c r="E27" i="22"/>
  <c r="E75" i="22" s="1"/>
  <c r="E80" i="22" s="1"/>
  <c r="G28" i="22"/>
  <c r="G87" i="22" s="1"/>
  <c r="D29" i="22"/>
  <c r="I31" i="22"/>
  <c r="G32" i="22"/>
  <c r="E37" i="22"/>
  <c r="D37" i="22" s="1"/>
  <c r="K38" i="22"/>
  <c r="H39" i="22"/>
  <c r="I40" i="22"/>
  <c r="I111" i="22" s="1"/>
  <c r="H41" i="22"/>
  <c r="E43" i="22"/>
  <c r="D43" i="22" s="1"/>
  <c r="K44" i="22"/>
  <c r="D105" i="22"/>
  <c r="K30" i="22"/>
  <c r="G42" i="22"/>
  <c r="K42" i="22"/>
  <c r="E25" i="22"/>
  <c r="D25" i="22" s="1"/>
  <c r="I25" i="22"/>
  <c r="E26" i="22"/>
  <c r="I26" i="22"/>
  <c r="D27" i="22"/>
  <c r="H27" i="22"/>
  <c r="H28" i="22"/>
  <c r="H87" i="22" s="1"/>
  <c r="G29" i="22"/>
  <c r="G99" i="22" s="1"/>
  <c r="K29" i="22"/>
  <c r="K99" i="22" s="1"/>
  <c r="F30" i="22"/>
  <c r="J30" i="22"/>
  <c r="F31" i="22"/>
  <c r="J31" i="22"/>
  <c r="F32" i="22"/>
  <c r="J32" i="22"/>
  <c r="F37" i="22"/>
  <c r="J37" i="22"/>
  <c r="F38" i="22"/>
  <c r="J38" i="22"/>
  <c r="E39" i="22"/>
  <c r="I39" i="22"/>
  <c r="D40" i="22"/>
  <c r="H40" i="22"/>
  <c r="H111" i="22" s="1"/>
  <c r="G41" i="22"/>
  <c r="K41" i="22"/>
  <c r="F42" i="22"/>
  <c r="J42" i="22"/>
  <c r="F43" i="22"/>
  <c r="J43" i="22"/>
  <c r="F44" i="22"/>
  <c r="J44" i="22"/>
  <c r="D73" i="22"/>
  <c r="G25" i="22"/>
  <c r="K25" i="22"/>
  <c r="G26" i="22"/>
  <c r="G63" i="22" s="1"/>
  <c r="K26" i="22"/>
  <c r="K63" i="22" s="1"/>
  <c r="F27" i="22"/>
  <c r="F75" i="22" s="1"/>
  <c r="J27" i="22"/>
  <c r="J75" i="22" s="1"/>
  <c r="F28" i="22"/>
  <c r="F87" i="22" s="1"/>
  <c r="E29" i="22"/>
  <c r="E99" i="22" s="1"/>
  <c r="E104" i="22" s="1"/>
  <c r="E105" i="22" s="1"/>
  <c r="D30" i="22"/>
  <c r="H30" i="22"/>
  <c r="G39" i="22"/>
  <c r="F40" i="22"/>
  <c r="J40" i="22"/>
  <c r="J111" i="22" s="1"/>
  <c r="E41" i="22"/>
  <c r="D42" i="22"/>
  <c r="H42" i="22"/>
  <c r="D116" i="22"/>
  <c r="D117" i="22" s="1"/>
  <c r="G30" i="22"/>
  <c r="G27" i="22"/>
  <c r="G75" i="22" s="1"/>
  <c r="E30" i="22"/>
  <c r="G40" i="22"/>
  <c r="G111" i="22" s="1"/>
  <c r="G116" i="22" s="1"/>
  <c r="E42" i="22"/>
  <c r="E87" i="22" l="1"/>
  <c r="E92" i="22" s="1"/>
  <c r="I75" i="22"/>
  <c r="J63" i="22"/>
  <c r="F63" i="22"/>
  <c r="I63" i="22"/>
  <c r="J99" i="22"/>
  <c r="D80" i="22"/>
  <c r="K75" i="22" s="1"/>
  <c r="H75" i="22"/>
  <c r="F111" i="22"/>
  <c r="F116" i="22" s="1"/>
  <c r="D26" i="22"/>
  <c r="E63" i="22"/>
  <c r="C12" i="38" l="1"/>
  <c r="C29" i="38"/>
  <c r="G207" i="20" l="1"/>
  <c r="Q29" i="38"/>
  <c r="Q12" i="38"/>
  <c r="F20" i="2" l="1"/>
  <c r="AD20" i="2" s="1"/>
  <c r="C7" i="38"/>
  <c r="Q7" i="38" s="1"/>
  <c r="H20" i="2" l="1"/>
  <c r="AF20" i="2" s="1"/>
  <c r="G20" i="2"/>
  <c r="AE20" i="2" s="1"/>
  <c r="E20" i="2"/>
  <c r="D20" i="2"/>
  <c r="D15" i="38" l="1"/>
  <c r="E15" i="38" s="1"/>
  <c r="F15" i="38" s="1"/>
  <c r="G15" i="38" s="1"/>
  <c r="H15" i="38" s="1"/>
  <c r="I15" i="38" s="1"/>
  <c r="J15" i="38" s="1"/>
  <c r="K15" i="38" s="1"/>
  <c r="L15" i="38" s="1"/>
  <c r="M15" i="38" s="1"/>
  <c r="N15" i="38" s="1"/>
  <c r="O15" i="38" s="1"/>
  <c r="E183" i="2"/>
  <c r="Q15" i="38" l="1"/>
  <c r="D85" i="36"/>
  <c r="E85" i="36" s="1"/>
  <c r="F85" i="36" s="1"/>
  <c r="F183" i="2" l="1"/>
  <c r="D84" i="36"/>
  <c r="B77" i="23"/>
  <c r="C76" i="23"/>
  <c r="F405" i="20"/>
  <c r="B76" i="23"/>
  <c r="H87" i="25"/>
  <c r="AD183" i="2" l="1"/>
  <c r="H27" i="25"/>
  <c r="G183" i="2"/>
  <c r="D87" i="36"/>
  <c r="E84" i="36"/>
  <c r="C77" i="23"/>
  <c r="B85" i="23"/>
  <c r="I87" i="25"/>
  <c r="J87" i="25" s="1"/>
  <c r="K87" i="25" s="1"/>
  <c r="L87" i="25" s="1"/>
  <c r="G405" i="20"/>
  <c r="G26" i="41" l="1"/>
  <c r="G27" i="41" s="1"/>
  <c r="D27" i="36"/>
  <c r="I27" i="25"/>
  <c r="H26" i="41" s="1"/>
  <c r="H27" i="41" s="1"/>
  <c r="AE183" i="2"/>
  <c r="E87" i="36"/>
  <c r="F87" i="36" s="1"/>
  <c r="F84" i="36"/>
  <c r="I28" i="25"/>
  <c r="H183" i="2"/>
  <c r="C85" i="23"/>
  <c r="E27" i="36" l="1"/>
  <c r="D28" i="36"/>
  <c r="J27" i="25"/>
  <c r="I26" i="41" s="1"/>
  <c r="I27" i="41" s="1"/>
  <c r="AF183" i="2"/>
  <c r="I183" i="2"/>
  <c r="D85" i="23"/>
  <c r="J28" i="25" l="1"/>
  <c r="F27" i="36"/>
  <c r="E28" i="36"/>
  <c r="F28" i="36" s="1"/>
  <c r="AG183" i="2"/>
  <c r="K27" i="25"/>
  <c r="J26" i="41" s="1"/>
  <c r="J27" i="41" s="1"/>
  <c r="F85" i="23"/>
  <c r="E85" i="23"/>
  <c r="K28" i="25" l="1"/>
  <c r="L28" i="25"/>
  <c r="K26" i="41"/>
  <c r="K27" i="41" s="1"/>
  <c r="B2" i="25"/>
  <c r="B1" i="25"/>
  <c r="A42" i="23"/>
  <c r="A2" i="23"/>
  <c r="A2" i="36" l="1"/>
  <c r="F207" i="20"/>
  <c r="H28" i="25"/>
  <c r="B47" i="23"/>
  <c r="A49" i="23"/>
  <c r="B52" i="38" l="1"/>
  <c r="B87" i="38" s="1"/>
  <c r="B122" i="38" s="1"/>
  <c r="C70" i="23"/>
  <c r="C283" i="20"/>
  <c r="C47" i="23"/>
  <c r="D70" i="23" l="1"/>
  <c r="D47" i="23"/>
  <c r="E70" i="23" l="1"/>
  <c r="K9" i="25"/>
  <c r="F9" i="46" s="1"/>
  <c r="E47" i="23"/>
  <c r="F35" i="46" l="1"/>
  <c r="F59" i="46"/>
  <c r="A1" i="45"/>
  <c r="F17" i="46"/>
  <c r="F27" i="46"/>
  <c r="F43" i="46" s="1"/>
  <c r="F51" i="46" s="1"/>
  <c r="F69" i="46" s="1"/>
  <c r="F76" i="46" s="1"/>
  <c r="F82" i="46" s="1"/>
  <c r="F70" i="23"/>
  <c r="I3" i="20"/>
  <c r="I72" i="20" s="1"/>
  <c r="I9" i="39"/>
  <c r="A5" i="39"/>
  <c r="J9" i="25"/>
  <c r="E9" i="46" s="1"/>
  <c r="L9" i="25"/>
  <c r="G9" i="46" s="1"/>
  <c r="A7" i="23"/>
  <c r="B5" i="25"/>
  <c r="A54" i="23"/>
  <c r="E43" i="46" l="1"/>
  <c r="E59" i="46"/>
  <c r="E35" i="46"/>
  <c r="E51" i="46"/>
  <c r="E69" i="46" s="1"/>
  <c r="E76" i="46" s="1"/>
  <c r="E82" i="46" s="1"/>
  <c r="G59" i="46"/>
  <c r="G35" i="46"/>
  <c r="E27" i="46"/>
  <c r="E17" i="46"/>
  <c r="G17" i="46"/>
  <c r="G27" i="46"/>
  <c r="G43" i="46" s="1"/>
  <c r="G51" i="46" s="1"/>
  <c r="G69" i="46" s="1"/>
  <c r="G76" i="46" s="1"/>
  <c r="G82" i="46" s="1"/>
  <c r="J9" i="39"/>
  <c r="J3" i="20"/>
  <c r="H3" i="20"/>
  <c r="H72" i="20" s="1"/>
  <c r="H9" i="39"/>
  <c r="I9" i="25"/>
  <c r="D9" i="46" s="1"/>
  <c r="D51" i="46" l="1"/>
  <c r="D69" i="46" s="1"/>
  <c r="D76" i="46" s="1"/>
  <c r="D82" i="46" s="1"/>
  <c r="D35" i="46"/>
  <c r="D59" i="46"/>
  <c r="D43" i="46"/>
  <c r="D17" i="46"/>
  <c r="D27" i="46"/>
  <c r="J276" i="20"/>
  <c r="J72" i="20"/>
  <c r="G9" i="39"/>
  <c r="J320" i="20"/>
  <c r="J37" i="20"/>
  <c r="J99" i="20"/>
  <c r="J361" i="20"/>
  <c r="C14" i="39"/>
  <c r="G3" i="20"/>
  <c r="G72" i="20" s="1"/>
  <c r="I361" i="20"/>
  <c r="I99" i="20"/>
  <c r="I37" i="20"/>
  <c r="I276" i="20"/>
  <c r="I320" i="20"/>
  <c r="H9" i="25"/>
  <c r="A50" i="23"/>
  <c r="C7" i="36" l="1"/>
  <c r="B1" i="49"/>
  <c r="F9" i="25"/>
  <c r="C9" i="46"/>
  <c r="F9" i="39"/>
  <c r="A51" i="23"/>
  <c r="A5" i="23" s="1"/>
  <c r="B53" i="38"/>
  <c r="B88" i="38" s="1"/>
  <c r="B123" i="38" s="1"/>
  <c r="G200" i="20"/>
  <c r="G320" i="20"/>
  <c r="G361" i="20"/>
  <c r="G276" i="20"/>
  <c r="G99" i="20"/>
  <c r="G37" i="20"/>
  <c r="F3" i="20"/>
  <c r="F72" i="20" s="1"/>
  <c r="H361" i="20"/>
  <c r="H37" i="20"/>
  <c r="H99" i="20"/>
  <c r="H320" i="20"/>
  <c r="H276" i="20"/>
  <c r="C59" i="46" l="1"/>
  <c r="C35" i="46"/>
  <c r="C43" i="46"/>
  <c r="C51" i="46"/>
  <c r="C69" i="46" s="1"/>
  <c r="C76" i="46" s="1"/>
  <c r="C82" i="46" s="1"/>
  <c r="E3" i="20"/>
  <c r="G131" i="20" s="1"/>
  <c r="E9" i="39"/>
  <c r="E9" i="25"/>
  <c r="D3" i="20" s="1"/>
  <c r="C17" i="46"/>
  <c r="C27" i="46"/>
  <c r="A53" i="23"/>
  <c r="A4" i="39"/>
  <c r="B4" i="25"/>
  <c r="F37" i="20"/>
  <c r="F99" i="20"/>
  <c r="H131" i="20"/>
  <c r="F361" i="20"/>
  <c r="F276" i="20"/>
  <c r="F320" i="20"/>
  <c r="B318" i="20" s="1"/>
  <c r="F200" i="20"/>
  <c r="D9" i="25" l="1"/>
  <c r="D9" i="39"/>
  <c r="E276" i="20"/>
  <c r="E99" i="20"/>
  <c r="B168" i="20" s="1"/>
  <c r="E37" i="20"/>
  <c r="E200" i="20"/>
  <c r="B235" i="20" s="1"/>
  <c r="E72" i="20"/>
  <c r="E361" i="20"/>
  <c r="D99" i="20"/>
  <c r="D276" i="20"/>
  <c r="D37" i="20"/>
  <c r="D72" i="20"/>
  <c r="D200" i="20"/>
  <c r="D361" i="20"/>
  <c r="C9" i="39"/>
  <c r="C3" i="20"/>
  <c r="C276" i="20" l="1"/>
  <c r="B274" i="20" s="1"/>
  <c r="C37" i="20"/>
  <c r="C99" i="20"/>
  <c r="C72" i="20"/>
  <c r="C361" i="20"/>
  <c r="B359" i="20" s="1"/>
  <c r="D275" i="2" l="1"/>
  <c r="E275" i="2" l="1"/>
  <c r="I50" i="22" l="1"/>
  <c r="I92" i="22" s="1"/>
  <c r="H68" i="22"/>
  <c r="G68" i="22"/>
  <c r="F68" i="22"/>
  <c r="E68" i="22"/>
  <c r="E69" i="22" s="1"/>
  <c r="H92" i="22"/>
  <c r="G92" i="22"/>
  <c r="F92" i="22"/>
  <c r="E93" i="22"/>
  <c r="H116" i="22"/>
  <c r="E117" i="22"/>
  <c r="F117" i="22" s="1"/>
  <c r="G117" i="22" s="1"/>
  <c r="H104" i="22"/>
  <c r="G104" i="22"/>
  <c r="F104" i="22"/>
  <c r="F105" i="22" s="1"/>
  <c r="H80" i="22"/>
  <c r="G80" i="22"/>
  <c r="F80" i="22"/>
  <c r="E81" i="22"/>
  <c r="D81" i="22"/>
  <c r="D93" i="22"/>
  <c r="D68" i="22"/>
  <c r="D69" i="22" s="1"/>
  <c r="F93" i="22" l="1"/>
  <c r="G93" i="22" s="1"/>
  <c r="H93" i="22" s="1"/>
  <c r="I93" i="22" s="1"/>
  <c r="I116" i="22"/>
  <c r="H117" i="22"/>
  <c r="F81" i="22"/>
  <c r="G81" i="22" s="1"/>
  <c r="H81" i="22" s="1"/>
  <c r="G105" i="22"/>
  <c r="H105" i="22" s="1"/>
  <c r="C100" i="20"/>
  <c r="C102" i="20" s="1"/>
  <c r="F69" i="22"/>
  <c r="G69" i="22" s="1"/>
  <c r="H69" i="22" s="1"/>
  <c r="I68" i="22"/>
  <c r="J50" i="22"/>
  <c r="I80" i="22"/>
  <c r="I104" i="22"/>
  <c r="I105" i="22" l="1"/>
  <c r="I117" i="22"/>
  <c r="I81" i="22"/>
  <c r="D20" i="25"/>
  <c r="G20" i="25" s="1"/>
  <c r="I69" i="22"/>
  <c r="K50" i="22"/>
  <c r="J92" i="22"/>
  <c r="J93" i="22" s="1"/>
  <c r="J104" i="22"/>
  <c r="J80" i="22"/>
  <c r="J116" i="22"/>
  <c r="J68" i="22"/>
  <c r="J105" i="22" l="1"/>
  <c r="D29" i="25"/>
  <c r="J117" i="22"/>
  <c r="J81" i="22"/>
  <c r="J69" i="22"/>
  <c r="K116" i="22"/>
  <c r="K80" i="22"/>
  <c r="K68" i="22"/>
  <c r="K92" i="22"/>
  <c r="K93" i="22" s="1"/>
  <c r="K104" i="22"/>
  <c r="G29" i="25" l="1"/>
  <c r="C4" i="20"/>
  <c r="K105" i="22"/>
  <c r="E18" i="38"/>
  <c r="K117" i="22"/>
  <c r="C10" i="39"/>
  <c r="C12" i="39" s="1"/>
  <c r="D55" i="25"/>
  <c r="G55" i="25" s="1"/>
  <c r="K69" i="22"/>
  <c r="K81" i="22"/>
  <c r="G18" i="38" l="1"/>
  <c r="H18" i="38" s="1"/>
  <c r="I18" i="38" s="1"/>
  <c r="J18" i="38" s="1"/>
  <c r="K18" i="38" s="1"/>
  <c r="F18" i="38"/>
  <c r="D59" i="25"/>
  <c r="C6" i="20" s="1"/>
  <c r="C39" i="20" l="1"/>
  <c r="D104" i="25"/>
  <c r="M18" i="38"/>
  <c r="N18" i="38" s="1"/>
  <c r="L18" i="38"/>
  <c r="C16" i="39"/>
  <c r="E57" i="25"/>
  <c r="D14" i="39" s="1"/>
  <c r="D73" i="25"/>
  <c r="C40" i="20" s="1"/>
  <c r="D80" i="25" l="1"/>
  <c r="D91" i="25" s="1"/>
  <c r="D186" i="2"/>
  <c r="O18" i="38"/>
  <c r="E59" i="25"/>
  <c r="D6" i="20" s="1"/>
  <c r="D105" i="25" l="1"/>
  <c r="C393" i="2"/>
  <c r="D39" i="20"/>
  <c r="E104" i="25"/>
  <c r="G11" i="22"/>
  <c r="B98" i="23"/>
  <c r="F276" i="2"/>
  <c r="AD276" i="2" s="1"/>
  <c r="B97" i="23"/>
  <c r="C75" i="20"/>
  <c r="C73" i="20" s="1"/>
  <c r="E186" i="2"/>
  <c r="D16" i="39"/>
  <c r="F57" i="25"/>
  <c r="C52" i="38" s="1"/>
  <c r="C22" i="39"/>
  <c r="Q18" i="38"/>
  <c r="E73" i="25"/>
  <c r="D40" i="20" s="1"/>
  <c r="G276" i="2" l="1"/>
  <c r="AE276" i="2" s="1"/>
  <c r="K52" i="38"/>
  <c r="G52" i="38"/>
  <c r="D52" i="38"/>
  <c r="M52" i="38"/>
  <c r="H52" i="38"/>
  <c r="I52" i="38"/>
  <c r="O52" i="38"/>
  <c r="E52" i="38"/>
  <c r="N52" i="38"/>
  <c r="F52" i="38"/>
  <c r="J52" i="38"/>
  <c r="L52" i="38"/>
  <c r="F186" i="2"/>
  <c r="AD186" i="2" s="1"/>
  <c r="E14" i="39"/>
  <c r="F59" i="25"/>
  <c r="E6" i="20" s="1"/>
  <c r="G57" i="25"/>
  <c r="E80" i="25"/>
  <c r="E39" i="20" l="1"/>
  <c r="F104" i="25"/>
  <c r="H276" i="2"/>
  <c r="AF276" i="2" s="1"/>
  <c r="G186" i="2"/>
  <c r="AE186" i="2" s="1"/>
  <c r="E16" i="39"/>
  <c r="H57" i="25"/>
  <c r="C97" i="23"/>
  <c r="D75" i="20"/>
  <c r="D73" i="20" s="1"/>
  <c r="F73" i="25"/>
  <c r="E40" i="20" s="1"/>
  <c r="G59" i="25"/>
  <c r="E91" i="25"/>
  <c r="E105" i="25" l="1"/>
  <c r="D393" i="2"/>
  <c r="H11" i="22"/>
  <c r="I276" i="2"/>
  <c r="H186" i="2"/>
  <c r="AF186" i="2" s="1"/>
  <c r="D57" i="36"/>
  <c r="C50" i="38"/>
  <c r="C51" i="38" s="1"/>
  <c r="D21" i="38"/>
  <c r="E21" i="38" s="1"/>
  <c r="F21" i="38" s="1"/>
  <c r="G21" i="38" s="1"/>
  <c r="H21" i="38" s="1"/>
  <c r="I21" i="38" s="1"/>
  <c r="J21" i="38" s="1"/>
  <c r="K21" i="38" s="1"/>
  <c r="L21" i="38" s="1"/>
  <c r="M21" i="38" s="1"/>
  <c r="N21" i="38" s="1"/>
  <c r="O21" i="38" s="1"/>
  <c r="B82" i="23"/>
  <c r="C98" i="23"/>
  <c r="D22" i="39"/>
  <c r="B72" i="23"/>
  <c r="F401" i="20"/>
  <c r="F80" i="25"/>
  <c r="G73" i="25"/>
  <c r="F14" i="39"/>
  <c r="J276" i="2" l="1"/>
  <c r="AH276" i="2" s="1"/>
  <c r="AG276" i="2"/>
  <c r="I186" i="2"/>
  <c r="J51" i="38"/>
  <c r="E51" i="38"/>
  <c r="I51" i="38"/>
  <c r="H51" i="38"/>
  <c r="G51" i="38"/>
  <c r="F51" i="38"/>
  <c r="D51" i="38"/>
  <c r="Q21" i="38"/>
  <c r="D97" i="23"/>
  <c r="E75" i="20"/>
  <c r="E73" i="20" s="1"/>
  <c r="F91" i="25"/>
  <c r="G80" i="25"/>
  <c r="F105" i="25" l="1"/>
  <c r="E393" i="2"/>
  <c r="AG186" i="2"/>
  <c r="J186" i="2"/>
  <c r="AH186" i="2" s="1"/>
  <c r="I11" i="22"/>
  <c r="F204" i="20"/>
  <c r="D35" i="36"/>
  <c r="E35" i="36" s="1"/>
  <c r="F35" i="36" s="1"/>
  <c r="F280" i="20"/>
  <c r="G204" i="20"/>
  <c r="G280" i="20"/>
  <c r="H280" i="20"/>
  <c r="E22" i="39"/>
  <c r="I280" i="20"/>
  <c r="J280" i="20"/>
  <c r="D98" i="23"/>
  <c r="G91" i="25"/>
  <c r="J4" i="38" l="1"/>
  <c r="D4" i="38"/>
  <c r="M4" i="38"/>
  <c r="G4" i="38"/>
  <c r="D18" i="2"/>
  <c r="G13" i="41" l="1"/>
  <c r="Q4" i="38"/>
  <c r="E18" i="2"/>
  <c r="H133" i="20" l="1"/>
  <c r="C19" i="46"/>
  <c r="C20" i="46" s="1"/>
  <c r="D14" i="36"/>
  <c r="E14" i="36" s="1"/>
  <c r="F14" i="36" s="1"/>
  <c r="F18" i="2"/>
  <c r="AD18" i="2" s="1"/>
  <c r="H13" i="41" l="1"/>
  <c r="G18" i="2"/>
  <c r="AE18" i="2" s="1"/>
  <c r="D19" i="46" l="1"/>
  <c r="D20" i="46" s="1"/>
  <c r="H18" i="2"/>
  <c r="AF18" i="2" s="1"/>
  <c r="I6" i="22"/>
  <c r="I54" i="22" s="1"/>
  <c r="J53" i="22"/>
  <c r="F53" i="22"/>
  <c r="F56" i="22" s="1"/>
  <c r="H6" i="22"/>
  <c r="H54" i="22" s="1"/>
  <c r="I53" i="22"/>
  <c r="E53" i="22"/>
  <c r="E56" i="22" s="1"/>
  <c r="E57" i="22" s="1"/>
  <c r="D57" i="22" s="1"/>
  <c r="K6" i="22"/>
  <c r="K54" i="22" s="1"/>
  <c r="H53" i="22"/>
  <c r="J6" i="22"/>
  <c r="J54" i="22" s="1"/>
  <c r="K53" i="22"/>
  <c r="G53" i="22"/>
  <c r="G56" i="22" s="1"/>
  <c r="G57" i="22" s="1"/>
  <c r="I13" i="41" l="1"/>
  <c r="K56" i="22"/>
  <c r="F57" i="22"/>
  <c r="H56" i="22"/>
  <c r="H57" i="22" s="1"/>
  <c r="I56" i="22"/>
  <c r="J56" i="22"/>
  <c r="E19" i="46" l="1"/>
  <c r="E20" i="46" s="1"/>
  <c r="D50" i="36" l="1"/>
  <c r="J13" i="41" l="1"/>
  <c r="P66" i="42"/>
  <c r="H53" i="25"/>
  <c r="C78" i="46" s="1"/>
  <c r="C79" i="46" s="1"/>
  <c r="E50" i="36"/>
  <c r="F50" i="36" s="1"/>
  <c r="D53" i="36"/>
  <c r="D22" i="38"/>
  <c r="E22" i="38" s="1"/>
  <c r="D19" i="2"/>
  <c r="F19" i="46" l="1"/>
  <c r="F20" i="46" s="1"/>
  <c r="I53" i="25"/>
  <c r="D78" i="46" s="1"/>
  <c r="D79" i="46" s="1"/>
  <c r="C36" i="38"/>
  <c r="Q36" i="38" s="1"/>
  <c r="E53" i="36"/>
  <c r="F53" i="36" s="1"/>
  <c r="D44" i="2"/>
  <c r="F22" i="38"/>
  <c r="G22" i="38"/>
  <c r="H22" i="38" s="1"/>
  <c r="I22" i="38" s="1"/>
  <c r="J22" i="38" s="1"/>
  <c r="K22" i="38" s="1"/>
  <c r="L22" i="38" s="1"/>
  <c r="M22" i="38" s="1"/>
  <c r="N22" i="38" s="1"/>
  <c r="O22" i="38" s="1"/>
  <c r="D21" i="2"/>
  <c r="D23" i="2" l="1"/>
  <c r="D22" i="2"/>
  <c r="P64" i="42"/>
  <c r="Q65" i="42" s="1"/>
  <c r="R66" i="42" s="1"/>
  <c r="Q64" i="42"/>
  <c r="R65" i="42" s="1"/>
  <c r="S66" i="42" s="1"/>
  <c r="O70" i="42"/>
  <c r="O71" i="42" s="1"/>
  <c r="O72" i="42" s="1"/>
  <c r="O81" i="42" s="1"/>
  <c r="O84" i="42" s="1"/>
  <c r="P65" i="42"/>
  <c r="Q66" i="42" s="1"/>
  <c r="D365" i="2"/>
  <c r="Q22" i="38"/>
  <c r="H79" i="25" l="1"/>
  <c r="G80" i="41" s="1"/>
  <c r="G78" i="41"/>
  <c r="G35" i="41"/>
  <c r="S64" i="42"/>
  <c r="T65" i="42" s="1"/>
  <c r="R64" i="42"/>
  <c r="S65" i="42" s="1"/>
  <c r="T66" i="42" s="1"/>
  <c r="D77" i="36"/>
  <c r="D79" i="36" s="1"/>
  <c r="F404" i="20"/>
  <c r="D58" i="2"/>
  <c r="Q67" i="42"/>
  <c r="Q70" i="42" s="1"/>
  <c r="Q71" i="42" s="1"/>
  <c r="Q72" i="42" s="1"/>
  <c r="Q81" i="42" s="1"/>
  <c r="Q84" i="42" s="1"/>
  <c r="Q86" i="42" s="1"/>
  <c r="Q85" i="42" s="1"/>
  <c r="O88" i="42"/>
  <c r="O146" i="42" s="1"/>
  <c r="O148" i="42" s="1"/>
  <c r="O145" i="42" s="1"/>
  <c r="O161" i="42" s="1"/>
  <c r="P67" i="42"/>
  <c r="P70" i="42" s="1"/>
  <c r="P71" i="42" s="1"/>
  <c r="P72" i="42" s="1"/>
  <c r="P81" i="42" s="1"/>
  <c r="P84" i="42" s="1"/>
  <c r="J53" i="25"/>
  <c r="E78" i="46" s="1"/>
  <c r="E79" i="46" s="1"/>
  <c r="K53" i="25"/>
  <c r="F78" i="46" s="1"/>
  <c r="F79" i="46" s="1"/>
  <c r="F20" i="39" l="1"/>
  <c r="B75" i="23"/>
  <c r="B74" i="23"/>
  <c r="B84" i="23"/>
  <c r="G18" i="46"/>
  <c r="K13" i="41"/>
  <c r="T67" i="42"/>
  <c r="T70" i="42" s="1"/>
  <c r="T71" i="42" s="1"/>
  <c r="T72" i="42" s="1"/>
  <c r="D36" i="36"/>
  <c r="E36" i="36" s="1"/>
  <c r="F36" i="36" s="1"/>
  <c r="F205" i="20"/>
  <c r="F281" i="20"/>
  <c r="E77" i="36"/>
  <c r="G19" i="46"/>
  <c r="R67" i="42"/>
  <c r="R70" i="42" s="1"/>
  <c r="R71" i="42" s="1"/>
  <c r="R72" i="42" s="1"/>
  <c r="R59" i="42" s="1"/>
  <c r="R108" i="42" s="1"/>
  <c r="R111" i="42" s="1"/>
  <c r="R112" i="42" s="1"/>
  <c r="R107" i="42" s="1"/>
  <c r="S67" i="42"/>
  <c r="S70" i="42" s="1"/>
  <c r="S71" i="42" s="1"/>
  <c r="S72" i="42" s="1"/>
  <c r="S81" i="42" s="1"/>
  <c r="S84" i="42" s="1"/>
  <c r="S86" i="42" s="1"/>
  <c r="S85" i="42" s="1"/>
  <c r="G205" i="20"/>
  <c r="G281" i="20"/>
  <c r="H281" i="20"/>
  <c r="Q63" i="42"/>
  <c r="Q116" i="42"/>
  <c r="Q151" i="42"/>
  <c r="Q163" i="42" s="1"/>
  <c r="Q150" i="42"/>
  <c r="Q162" i="42" s="1"/>
  <c r="Q106" i="42"/>
  <c r="Q59" i="42"/>
  <c r="Q88" i="42"/>
  <c r="Q146" i="42" s="1"/>
  <c r="Q148" i="42" s="1"/>
  <c r="Q145" i="42" s="1"/>
  <c r="Q161" i="42" s="1"/>
  <c r="O108" i="42"/>
  <c r="O111" i="42" s="1"/>
  <c r="O112" i="42" s="1"/>
  <c r="O107" i="42" s="1"/>
  <c r="O86" i="42"/>
  <c r="O85" i="42" s="1"/>
  <c r="P86" i="42"/>
  <c r="P88" i="42"/>
  <c r="P146" i="42" s="1"/>
  <c r="P148" i="42" s="1"/>
  <c r="P145" i="42" s="1"/>
  <c r="P161" i="42" s="1"/>
  <c r="P59" i="42"/>
  <c r="D6" i="38"/>
  <c r="E6" i="38" s="1"/>
  <c r="F6" i="38" s="1"/>
  <c r="G6" i="38" s="1"/>
  <c r="H6" i="38" s="1"/>
  <c r="I6" i="38" s="1"/>
  <c r="J6" i="38" s="1"/>
  <c r="K6" i="38" s="1"/>
  <c r="L6" i="38" s="1"/>
  <c r="M6" i="38" s="1"/>
  <c r="N6" i="38" s="1"/>
  <c r="O6" i="38" s="1"/>
  <c r="L53" i="25"/>
  <c r="I281" i="20"/>
  <c r="J281" i="20"/>
  <c r="G20" i="46" l="1"/>
  <c r="I20" i="46" s="1"/>
  <c r="E79" i="36"/>
  <c r="F79" i="36" s="1"/>
  <c r="F77" i="36"/>
  <c r="G77" i="46"/>
  <c r="G78" i="46"/>
  <c r="T59" i="42"/>
  <c r="T108" i="42" s="1"/>
  <c r="T111" i="42" s="1"/>
  <c r="T112" i="42" s="1"/>
  <c r="T107" i="42" s="1"/>
  <c r="T81" i="42"/>
  <c r="T84" i="42" s="1"/>
  <c r="T86" i="42" s="1"/>
  <c r="T85" i="42" s="1"/>
  <c r="T88" i="42"/>
  <c r="T146" i="42" s="1"/>
  <c r="T148" i="42" s="1"/>
  <c r="T145" i="42" s="1"/>
  <c r="T161" i="42" s="1"/>
  <c r="R88" i="42"/>
  <c r="R146" i="42" s="1"/>
  <c r="R148" i="42" s="1"/>
  <c r="R145" i="42" s="1"/>
  <c r="R161" i="42" s="1"/>
  <c r="R81" i="42"/>
  <c r="R84" i="42" s="1"/>
  <c r="R86" i="42" s="1"/>
  <c r="R85" i="42" s="1"/>
  <c r="R116" i="42" s="1"/>
  <c r="S88" i="42"/>
  <c r="S146" i="42" s="1"/>
  <c r="S148" i="42" s="1"/>
  <c r="S145" i="42" s="1"/>
  <c r="S161" i="42" s="1"/>
  <c r="S59" i="42"/>
  <c r="S108" i="42" s="1"/>
  <c r="S111" i="42" s="1"/>
  <c r="S112" i="42" s="1"/>
  <c r="S107" i="42" s="1"/>
  <c r="S116" i="42"/>
  <c r="S106" i="42"/>
  <c r="S150" i="42"/>
  <c r="S162" i="42" s="1"/>
  <c r="S63" i="42"/>
  <c r="S151" i="42"/>
  <c r="S163" i="42" s="1"/>
  <c r="C13" i="36"/>
  <c r="P108" i="42"/>
  <c r="P111" i="42" s="1"/>
  <c r="P112" i="42" s="1"/>
  <c r="P107" i="42" s="1"/>
  <c r="Q108" i="42"/>
  <c r="Q111" i="42" s="1"/>
  <c r="Q112" i="42" s="1"/>
  <c r="Q107" i="42" s="1"/>
  <c r="P63" i="42"/>
  <c r="P116" i="42"/>
  <c r="P150" i="42"/>
  <c r="P162" i="42" s="1"/>
  <c r="P151" i="42"/>
  <c r="P163" i="42" s="1"/>
  <c r="P106" i="42"/>
  <c r="O63" i="42"/>
  <c r="O116" i="42"/>
  <c r="O150" i="42"/>
  <c r="O162" i="42" s="1"/>
  <c r="O151" i="42"/>
  <c r="O163" i="42" s="1"/>
  <c r="O106" i="42"/>
  <c r="Q137" i="42"/>
  <c r="Q120" i="42"/>
  <c r="Q132" i="42"/>
  <c r="Q135" i="42"/>
  <c r="Q141" i="42"/>
  <c r="Q119" i="42"/>
  <c r="Q139" i="42"/>
  <c r="Q133" i="42"/>
  <c r="Q136" i="42"/>
  <c r="Q143" i="42"/>
  <c r="Q142" i="42"/>
  <c r="Q134" i="42"/>
  <c r="Q140" i="42"/>
  <c r="Q144" i="42"/>
  <c r="Q121" i="42"/>
  <c r="Q6" i="38"/>
  <c r="G79" i="46" l="1"/>
  <c r="I79" i="46" s="1"/>
  <c r="T106" i="42"/>
  <c r="T63" i="42"/>
  <c r="T150" i="42"/>
  <c r="T162" i="42" s="1"/>
  <c r="T116" i="42"/>
  <c r="T151" i="42"/>
  <c r="T163" i="42" s="1"/>
  <c r="G15" i="41"/>
  <c r="R150" i="42"/>
  <c r="R162" i="42" s="1"/>
  <c r="R106" i="42"/>
  <c r="R63" i="42"/>
  <c r="R142" i="42" s="1"/>
  <c r="R151" i="42"/>
  <c r="R163" i="42" s="1"/>
  <c r="S132" i="42"/>
  <c r="S121" i="42"/>
  <c r="S134" i="42"/>
  <c r="S133" i="42"/>
  <c r="S139" i="42"/>
  <c r="S143" i="42"/>
  <c r="S142" i="42"/>
  <c r="S135" i="42"/>
  <c r="S144" i="42"/>
  <c r="S141" i="42"/>
  <c r="S137" i="42"/>
  <c r="S140" i="42"/>
  <c r="S136" i="42"/>
  <c r="S119" i="42"/>
  <c r="S120" i="42"/>
  <c r="Q3" i="38"/>
  <c r="Q118" i="42"/>
  <c r="Q131" i="42"/>
  <c r="P120" i="42"/>
  <c r="P137" i="42"/>
  <c r="P132" i="42"/>
  <c r="P135" i="42"/>
  <c r="P139" i="42"/>
  <c r="P141" i="42"/>
  <c r="P134" i="42"/>
  <c r="P133" i="42"/>
  <c r="P136" i="42"/>
  <c r="P143" i="42"/>
  <c r="P119" i="42"/>
  <c r="P142" i="42"/>
  <c r="P144" i="42"/>
  <c r="P140" i="42"/>
  <c r="P121" i="42"/>
  <c r="Q138" i="42"/>
  <c r="O132" i="42"/>
  <c r="O137" i="42"/>
  <c r="O120" i="42"/>
  <c r="O141" i="42"/>
  <c r="O143" i="42"/>
  <c r="O134" i="42"/>
  <c r="O139" i="42"/>
  <c r="O136" i="42"/>
  <c r="O133" i="42"/>
  <c r="O135" i="42"/>
  <c r="O142" i="42"/>
  <c r="O119" i="42"/>
  <c r="O140" i="42"/>
  <c r="O144" i="42"/>
  <c r="O121" i="42"/>
  <c r="R133" i="42" l="1"/>
  <c r="R141" i="42"/>
  <c r="R134" i="42"/>
  <c r="R137" i="42"/>
  <c r="R121" i="42"/>
  <c r="T139" i="42"/>
  <c r="T136" i="42"/>
  <c r="T132" i="42"/>
  <c r="T119" i="42"/>
  <c r="T140" i="42"/>
  <c r="T133" i="42"/>
  <c r="T121" i="42"/>
  <c r="T135" i="42"/>
  <c r="T143" i="42"/>
  <c r="T120" i="42"/>
  <c r="T137" i="42"/>
  <c r="T141" i="42"/>
  <c r="T142" i="42"/>
  <c r="T144" i="42"/>
  <c r="T134" i="42"/>
  <c r="R119" i="42"/>
  <c r="R136" i="42"/>
  <c r="R120" i="42"/>
  <c r="R139" i="42"/>
  <c r="R140" i="42"/>
  <c r="R135" i="42"/>
  <c r="R132" i="42"/>
  <c r="D16" i="36"/>
  <c r="E16" i="36" s="1"/>
  <c r="F16" i="36" s="1"/>
  <c r="H15" i="41"/>
  <c r="R143" i="42"/>
  <c r="R144" i="42"/>
  <c r="S118" i="42"/>
  <c r="S138" i="42"/>
  <c r="S131" i="42"/>
  <c r="P118" i="42"/>
  <c r="P138" i="42"/>
  <c r="O118" i="42"/>
  <c r="Q152" i="42"/>
  <c r="Q154" i="42" s="1"/>
  <c r="Q164" i="42" s="1"/>
  <c r="P131" i="42"/>
  <c r="O138" i="42"/>
  <c r="O131" i="42"/>
  <c r="L2" i="38"/>
  <c r="G8" i="38"/>
  <c r="N8" i="38" s="1"/>
  <c r="R138" i="42" l="1"/>
  <c r="R131" i="42"/>
  <c r="T118" i="42"/>
  <c r="T131" i="42"/>
  <c r="T138" i="42"/>
  <c r="R118" i="42"/>
  <c r="I15" i="41"/>
  <c r="F10" i="46"/>
  <c r="F97" i="46" s="1"/>
  <c r="S152" i="42"/>
  <c r="S154" i="42" s="1"/>
  <c r="S164" i="42" s="1"/>
  <c r="O152" i="42"/>
  <c r="O154" i="42" s="1"/>
  <c r="O164" i="42" s="1"/>
  <c r="P152" i="42"/>
  <c r="P154" i="42" s="1"/>
  <c r="P164" i="42" s="1"/>
  <c r="Q155" i="42"/>
  <c r="Q8" i="38"/>
  <c r="Q167" i="42" l="1"/>
  <c r="R152" i="42"/>
  <c r="R154" i="42" s="1"/>
  <c r="R164" i="42" s="1"/>
  <c r="T152" i="42"/>
  <c r="J15" i="41"/>
  <c r="S155" i="42"/>
  <c r="E10" i="46"/>
  <c r="E97" i="46" s="1"/>
  <c r="P155" i="42"/>
  <c r="O155" i="42"/>
  <c r="O157" i="42" s="1"/>
  <c r="O167" i="42" s="1"/>
  <c r="Q2" i="38"/>
  <c r="S167" i="42" l="1"/>
  <c r="P167" i="42"/>
  <c r="R155" i="42"/>
  <c r="T154" i="42"/>
  <c r="T164" i="42" s="1"/>
  <c r="K15" i="41"/>
  <c r="C18" i="36"/>
  <c r="D10" i="46"/>
  <c r="D97" i="46" s="1"/>
  <c r="R167" i="42" l="1"/>
  <c r="T155" i="42"/>
  <c r="C12" i="36"/>
  <c r="C10" i="46"/>
  <c r="C97" i="46" s="1"/>
  <c r="T167" i="42" l="1"/>
  <c r="F29" i="46" l="1"/>
  <c r="F30" i="46" s="1"/>
  <c r="J14" i="41"/>
  <c r="E29" i="46"/>
  <c r="E30" i="46" s="1"/>
  <c r="I14" i="41"/>
  <c r="K14" i="41"/>
  <c r="D32" i="38"/>
  <c r="E32" i="38" s="1"/>
  <c r="F32" i="38" s="1"/>
  <c r="G28" i="46" l="1"/>
  <c r="G29" i="46"/>
  <c r="G32" i="38"/>
  <c r="G30" i="46" l="1"/>
  <c r="H32" i="38"/>
  <c r="I32" i="38" l="1"/>
  <c r="J32" i="38" l="1"/>
  <c r="K32" i="38" l="1"/>
  <c r="L32" i="38" l="1"/>
  <c r="M32" i="38" l="1"/>
  <c r="N32" i="38" l="1"/>
  <c r="O32" i="38" l="1"/>
  <c r="Q32" i="38" l="1"/>
  <c r="D249" i="2" l="1"/>
  <c r="D66" i="36" l="1"/>
  <c r="E19" i="38"/>
  <c r="D273" i="2"/>
  <c r="G19" i="38" l="1"/>
  <c r="F19" i="38"/>
  <c r="L19" i="38" s="1"/>
  <c r="C66" i="36"/>
  <c r="H72" i="25"/>
  <c r="G72" i="41" s="1"/>
  <c r="F18" i="39" l="1"/>
  <c r="D72" i="36"/>
  <c r="I72" i="25"/>
  <c r="C72" i="36"/>
  <c r="E66" i="36"/>
  <c r="F66" i="36" s="1"/>
  <c r="G18" i="39" l="1"/>
  <c r="H72" i="41"/>
  <c r="E72" i="36"/>
  <c r="F72" i="36" s="1"/>
  <c r="H19" i="38"/>
  <c r="J72" i="25" l="1"/>
  <c r="I19" i="38"/>
  <c r="H18" i="39" l="1"/>
  <c r="I72" i="41"/>
  <c r="D389" i="2"/>
  <c r="J19" i="38"/>
  <c r="K72" i="25" l="1"/>
  <c r="K19" i="38"/>
  <c r="M19" i="38" s="1"/>
  <c r="I18" i="39" l="1"/>
  <c r="J72" i="41"/>
  <c r="N19" i="38"/>
  <c r="O19" i="38" l="1"/>
  <c r="Q19" i="38" l="1"/>
  <c r="E389" i="2" l="1"/>
  <c r="L72" i="25"/>
  <c r="K72" i="41" s="1"/>
  <c r="J18" i="39" l="1"/>
  <c r="D9" i="38" l="1"/>
  <c r="E9" i="38" l="1"/>
  <c r="F9" i="38" l="1"/>
  <c r="G9" i="38" l="1"/>
  <c r="H9" i="38" l="1"/>
  <c r="I9" i="38" l="1"/>
  <c r="J9" i="38" l="1"/>
  <c r="K9" i="38" l="1"/>
  <c r="L9" i="38" l="1"/>
  <c r="M9" i="38" l="1"/>
  <c r="N9" i="38" l="1"/>
  <c r="O9" i="38" l="1"/>
  <c r="Q9" i="38" l="1"/>
  <c r="D20" i="38" l="1"/>
  <c r="C33" i="38"/>
  <c r="C39" i="38" s="1"/>
  <c r="D39" i="38" l="1"/>
  <c r="D120" i="38" s="1"/>
  <c r="E20" i="38"/>
  <c r="D34" i="36" l="1"/>
  <c r="E34" i="36" s="1"/>
  <c r="F34" i="36" s="1"/>
  <c r="G33" i="41"/>
  <c r="F279" i="20"/>
  <c r="F203" i="20"/>
  <c r="E39" i="38"/>
  <c r="F20" i="38"/>
  <c r="G203" i="20" l="1"/>
  <c r="H33" i="41"/>
  <c r="G279" i="20"/>
  <c r="I33" i="41"/>
  <c r="F39" i="38"/>
  <c r="G20" i="38"/>
  <c r="E120" i="38"/>
  <c r="H279" i="20" l="1"/>
  <c r="J33" i="41"/>
  <c r="H20" i="38"/>
  <c r="G39" i="38"/>
  <c r="F120" i="38"/>
  <c r="I279" i="20" l="1"/>
  <c r="K33" i="41"/>
  <c r="G120" i="38"/>
  <c r="H39" i="38"/>
  <c r="I20" i="38"/>
  <c r="J279" i="20" l="1"/>
  <c r="J20" i="38"/>
  <c r="I39" i="38"/>
  <c r="H120" i="38"/>
  <c r="I120" i="38" l="1"/>
  <c r="J39" i="38"/>
  <c r="K20" i="38"/>
  <c r="J120" i="38" l="1"/>
  <c r="L20" i="38"/>
  <c r="K39" i="38"/>
  <c r="K120" i="38" l="1"/>
  <c r="L39" i="38"/>
  <c r="M20" i="38"/>
  <c r="L120" i="38" l="1"/>
  <c r="N20" i="38"/>
  <c r="M39" i="38"/>
  <c r="M120" i="38" l="1"/>
  <c r="N39" i="38"/>
  <c r="O20" i="38"/>
  <c r="N120" i="38" l="1"/>
  <c r="O39" i="38"/>
  <c r="Q20" i="38"/>
  <c r="O120" i="38" l="1"/>
  <c r="Q39" i="38"/>
  <c r="C57" i="36" l="1"/>
  <c r="E57" i="36" s="1"/>
  <c r="C10" i="38"/>
  <c r="C16" i="38" s="1"/>
  <c r="D5" i="38"/>
  <c r="D29" i="46" l="1"/>
  <c r="D30" i="46" s="1"/>
  <c r="H14" i="41"/>
  <c r="C29" i="46"/>
  <c r="C30" i="46" s="1"/>
  <c r="G14" i="41"/>
  <c r="E89" i="46"/>
  <c r="G89" i="46" s="1"/>
  <c r="F57" i="36"/>
  <c r="H135" i="20"/>
  <c r="D15" i="36"/>
  <c r="C15" i="36"/>
  <c r="D16" i="38"/>
  <c r="D85" i="38" s="1"/>
  <c r="E5" i="38"/>
  <c r="C20" i="36" l="1"/>
  <c r="C29" i="36" s="1"/>
  <c r="C55" i="36" s="1"/>
  <c r="C59" i="36" s="1"/>
  <c r="E88" i="46" s="1"/>
  <c r="E15" i="36"/>
  <c r="F15" i="36" s="1"/>
  <c r="E16" i="38"/>
  <c r="F5" i="38"/>
  <c r="G88" i="46" l="1"/>
  <c r="C73" i="36"/>
  <c r="C80" i="36" s="1"/>
  <c r="C91" i="36" s="1"/>
  <c r="D50" i="38"/>
  <c r="E50" i="38" s="1"/>
  <c r="I30" i="46"/>
  <c r="G5" i="38"/>
  <c r="F16" i="38"/>
  <c r="E85" i="38"/>
  <c r="F85" i="38" l="1"/>
  <c r="F50" i="38"/>
  <c r="G16" i="38"/>
  <c r="H5" i="38"/>
  <c r="G50" i="38" l="1"/>
  <c r="G85" i="38"/>
  <c r="I5" i="38"/>
  <c r="H16" i="38"/>
  <c r="H85" i="38" l="1"/>
  <c r="H50" i="38"/>
  <c r="I16" i="38"/>
  <c r="J5" i="38"/>
  <c r="I85" i="38" l="1"/>
  <c r="J16" i="38"/>
  <c r="K5" i="38"/>
  <c r="I50" i="38"/>
  <c r="J85" i="38" l="1"/>
  <c r="J50" i="38"/>
  <c r="L5" i="38"/>
  <c r="K16" i="38"/>
  <c r="K85" i="38" l="1"/>
  <c r="M5" i="38"/>
  <c r="L16" i="38"/>
  <c r="K50" i="38"/>
  <c r="L85" i="38" l="1"/>
  <c r="M16" i="38"/>
  <c r="N5" i="38"/>
  <c r="L50" i="38"/>
  <c r="M85" i="38" l="1"/>
  <c r="M50" i="38"/>
  <c r="N16" i="38"/>
  <c r="O5" i="38"/>
  <c r="N85" i="38" l="1"/>
  <c r="O16" i="38"/>
  <c r="Q5" i="38"/>
  <c r="N50" i="38"/>
  <c r="O50" i="38" l="1"/>
  <c r="O85" i="38"/>
  <c r="Q16" i="38"/>
  <c r="D272" i="2" l="1"/>
  <c r="D274" i="2"/>
  <c r="D277" i="2" l="1"/>
  <c r="D278" i="2" l="1"/>
  <c r="D279" i="2"/>
  <c r="G18" i="41"/>
  <c r="C45" i="46" l="1"/>
  <c r="C46" i="46" s="1"/>
  <c r="D19" i="36"/>
  <c r="E19" i="36" s="1"/>
  <c r="F19" i="36" s="1"/>
  <c r="H134" i="20"/>
  <c r="D45" i="46" l="1"/>
  <c r="D46" i="46" s="1"/>
  <c r="H18" i="41"/>
  <c r="E45" i="46" l="1"/>
  <c r="E46" i="46" s="1"/>
  <c r="I18" i="41"/>
  <c r="F45" i="46" l="1"/>
  <c r="F46" i="46" s="1"/>
  <c r="J18" i="41"/>
  <c r="K18" i="41"/>
  <c r="G44" i="46" l="1"/>
  <c r="G45" i="46"/>
  <c r="G46" i="46" l="1"/>
  <c r="I46" i="46" s="1"/>
  <c r="H102" i="30" l="1"/>
  <c r="P102" i="30" s="1"/>
  <c r="H133" i="30"/>
  <c r="H135" i="30" l="1"/>
  <c r="H136" i="30" s="1"/>
  <c r="P133" i="30"/>
  <c r="I124" i="30" l="1"/>
  <c r="I131" i="30" s="1"/>
  <c r="I102" i="30" s="1"/>
  <c r="H8" i="30"/>
  <c r="P8" i="30" s="1"/>
  <c r="H138" i="30"/>
  <c r="P136" i="30"/>
  <c r="H137" i="30"/>
  <c r="P135" i="30"/>
  <c r="H146" i="30"/>
  <c r="P146" i="30" s="1"/>
  <c r="P126" i="30"/>
  <c r="I84" i="30"/>
  <c r="I89" i="30"/>
  <c r="I133" i="30"/>
  <c r="I135" i="30" s="1"/>
  <c r="I85" i="30"/>
  <c r="I86" i="30"/>
  <c r="I83" i="30"/>
  <c r="I81" i="30"/>
  <c r="I82" i="30"/>
  <c r="I90" i="30"/>
  <c r="H16" i="30"/>
  <c r="P16" i="30" s="1"/>
  <c r="H10" i="30"/>
  <c r="E19" i="2"/>
  <c r="H87" i="30"/>
  <c r="P87" i="30" s="1"/>
  <c r="H91" i="30"/>
  <c r="H92" i="30"/>
  <c r="P92" i="30" s="1"/>
  <c r="F122" i="2" l="1"/>
  <c r="F123" i="2" s="1"/>
  <c r="F130" i="2" s="1"/>
  <c r="AD130" i="2" s="1"/>
  <c r="P10" i="30"/>
  <c r="I8" i="30"/>
  <c r="I16" i="30" s="1"/>
  <c r="I137" i="30"/>
  <c r="H147" i="30"/>
  <c r="I207" i="30"/>
  <c r="I91" i="30"/>
  <c r="F19" i="2"/>
  <c r="AD19" i="2" s="1"/>
  <c r="J124" i="30"/>
  <c r="J131" i="30" s="1"/>
  <c r="J84" i="30" s="1"/>
  <c r="I87" i="30"/>
  <c r="I136" i="30"/>
  <c r="H19" i="30"/>
  <c r="P19" i="30" s="1"/>
  <c r="E21" i="2"/>
  <c r="I92" i="30"/>
  <c r="I208" i="30" l="1"/>
  <c r="I10" i="30"/>
  <c r="I19" i="30" s="1"/>
  <c r="I146" i="30"/>
  <c r="I138" i="30"/>
  <c r="E23" i="2"/>
  <c r="E22" i="2"/>
  <c r="G122" i="2"/>
  <c r="G123" i="2" s="1"/>
  <c r="G130" i="2" s="1"/>
  <c r="AE130" i="2" s="1"/>
  <c r="J85" i="30"/>
  <c r="J82" i="30"/>
  <c r="I69" i="30"/>
  <c r="I94" i="30"/>
  <c r="J89" i="30"/>
  <c r="J86" i="30"/>
  <c r="J83" i="30"/>
  <c r="J90" i="30"/>
  <c r="J81" i="30"/>
  <c r="H68" i="30"/>
  <c r="H94" i="30"/>
  <c r="H46" i="30"/>
  <c r="H51" i="30" s="1"/>
  <c r="H95" i="30"/>
  <c r="H69" i="30"/>
  <c r="J133" i="30"/>
  <c r="J135" i="30" s="1"/>
  <c r="J102" i="30"/>
  <c r="H153" i="30" l="1"/>
  <c r="P51" i="30"/>
  <c r="F21" i="2"/>
  <c r="J8" i="30"/>
  <c r="J16" i="30" s="1"/>
  <c r="J137" i="30"/>
  <c r="I147" i="30"/>
  <c r="F23" i="2"/>
  <c r="J208" i="30"/>
  <c r="J207" i="30"/>
  <c r="I95" i="30"/>
  <c r="I96" i="30" s="1"/>
  <c r="I101" i="30" s="1"/>
  <c r="I152" i="30" s="1"/>
  <c r="I46" i="30"/>
  <c r="I51" i="30" s="1"/>
  <c r="I153" i="30" s="1"/>
  <c r="I68" i="30"/>
  <c r="I70" i="30" s="1"/>
  <c r="I75" i="30" s="1"/>
  <c r="H96" i="30"/>
  <c r="H101" i="30" s="1"/>
  <c r="H70" i="30"/>
  <c r="G19" i="2"/>
  <c r="AE19" i="2" s="1"/>
  <c r="J136" i="30"/>
  <c r="K124" i="30"/>
  <c r="F22" i="2" l="1"/>
  <c r="AD21" i="2"/>
  <c r="J10" i="30"/>
  <c r="C5" i="22" s="1"/>
  <c r="Q5" i="22" s="1"/>
  <c r="P153" i="30"/>
  <c r="P190" i="30"/>
  <c r="H152" i="30"/>
  <c r="P152" i="30" s="1"/>
  <c r="P101" i="30"/>
  <c r="J146" i="30"/>
  <c r="J138" i="30"/>
  <c r="H193" i="30"/>
  <c r="L5" i="22"/>
  <c r="J212" i="30" s="1"/>
  <c r="G42" i="2" s="1"/>
  <c r="P5" i="22"/>
  <c r="I190" i="30"/>
  <c r="J189" i="30" s="1"/>
  <c r="N5" i="22"/>
  <c r="L212" i="30" s="1"/>
  <c r="I42" i="2" s="1"/>
  <c r="M5" i="22"/>
  <c r="K212" i="30" s="1"/>
  <c r="H42" i="2" s="1"/>
  <c r="I150" i="30"/>
  <c r="H75" i="30"/>
  <c r="P75" i="30" s="1"/>
  <c r="H150" i="30"/>
  <c r="G21" i="2"/>
  <c r="AE21" i="2" s="1"/>
  <c r="J87" i="30"/>
  <c r="J91" i="30"/>
  <c r="J92" i="30"/>
  <c r="K131" i="30"/>
  <c r="K84" i="30" s="1"/>
  <c r="I44" i="2" l="1"/>
  <c r="AG42" i="2"/>
  <c r="H44" i="2"/>
  <c r="AF42" i="2"/>
  <c r="G44" i="2"/>
  <c r="AE42" i="2"/>
  <c r="H161" i="30"/>
  <c r="P150" i="30"/>
  <c r="O5" i="22"/>
  <c r="J19" i="30"/>
  <c r="K206" i="30"/>
  <c r="P161" i="30"/>
  <c r="H25" i="30"/>
  <c r="P193" i="30"/>
  <c r="J147" i="30"/>
  <c r="I193" i="30"/>
  <c r="I25" i="30" s="1"/>
  <c r="F58" i="2" s="1"/>
  <c r="G22" i="2"/>
  <c r="G23" i="2"/>
  <c r="K207" i="30"/>
  <c r="H122" i="2"/>
  <c r="H123" i="2" s="1"/>
  <c r="H130" i="2" s="1"/>
  <c r="AF130" i="2" s="1"/>
  <c r="K208" i="30"/>
  <c r="J77" i="41"/>
  <c r="J215" i="30"/>
  <c r="K215" i="30" s="1"/>
  <c r="L215" i="30" s="1"/>
  <c r="K77" i="41"/>
  <c r="I159" i="30"/>
  <c r="I161" i="30"/>
  <c r="I155" i="30"/>
  <c r="I160" i="30"/>
  <c r="K83" i="30"/>
  <c r="K85" i="30"/>
  <c r="K90" i="30"/>
  <c r="K82" i="30"/>
  <c r="K89" i="30"/>
  <c r="K86" i="30"/>
  <c r="K81" i="30"/>
  <c r="H159" i="30"/>
  <c r="H160" i="30"/>
  <c r="H155" i="30"/>
  <c r="P155" i="30" s="1"/>
  <c r="J94" i="30"/>
  <c r="J46" i="30"/>
  <c r="J51" i="30" s="1"/>
  <c r="J153" i="30" s="1"/>
  <c r="J68" i="30"/>
  <c r="J69" i="30"/>
  <c r="J95" i="30"/>
  <c r="K102" i="30"/>
  <c r="K133" i="30"/>
  <c r="K135" i="30" s="1"/>
  <c r="J77" i="25" l="1"/>
  <c r="AF44" i="2"/>
  <c r="H13" i="25"/>
  <c r="AD58" i="2"/>
  <c r="AE44" i="2"/>
  <c r="I77" i="25"/>
  <c r="AG44" i="2"/>
  <c r="K77" i="25"/>
  <c r="J78" i="41" s="1"/>
  <c r="P185" i="30"/>
  <c r="P183" i="30"/>
  <c r="P159" i="30"/>
  <c r="P160" i="30"/>
  <c r="E58" i="2"/>
  <c r="P25" i="30"/>
  <c r="K8" i="30"/>
  <c r="H19" i="2" s="1"/>
  <c r="AF19" i="2" s="1"/>
  <c r="K137" i="30"/>
  <c r="H156" i="30"/>
  <c r="P156" i="30" s="1"/>
  <c r="H195" i="30"/>
  <c r="I156" i="30"/>
  <c r="I195" i="30"/>
  <c r="K78" i="41"/>
  <c r="I78" i="41"/>
  <c r="J190" i="30"/>
  <c r="K189" i="30" s="1"/>
  <c r="I77" i="41"/>
  <c r="I163" i="30"/>
  <c r="J70" i="30"/>
  <c r="J75" i="30" s="1"/>
  <c r="J96" i="30"/>
  <c r="J101" i="30" s="1"/>
  <c r="J152" i="30" s="1"/>
  <c r="H163" i="30"/>
  <c r="P163" i="30" s="1"/>
  <c r="K16" i="30"/>
  <c r="K136" i="30"/>
  <c r="L124" i="30"/>
  <c r="H78" i="41" l="1"/>
  <c r="I79" i="25"/>
  <c r="G404" i="20"/>
  <c r="K10" i="30"/>
  <c r="L206" i="30" s="1"/>
  <c r="I122" i="2" s="1"/>
  <c r="I123" i="2" s="1"/>
  <c r="I130" i="2" s="1"/>
  <c r="AG130" i="2" s="1"/>
  <c r="P184" i="30"/>
  <c r="K146" i="30"/>
  <c r="K138" i="30"/>
  <c r="I404" i="20"/>
  <c r="J193" i="30"/>
  <c r="J25" i="30" s="1"/>
  <c r="G58" i="2" s="1"/>
  <c r="J404" i="20"/>
  <c r="L207" i="30"/>
  <c r="L208" i="30"/>
  <c r="H165" i="30"/>
  <c r="I178" i="30"/>
  <c r="J176" i="30"/>
  <c r="J177" i="30" s="1"/>
  <c r="H404" i="20"/>
  <c r="J79" i="25"/>
  <c r="I80" i="41" s="1"/>
  <c r="I165" i="30"/>
  <c r="I166" i="30" s="1"/>
  <c r="J150" i="30"/>
  <c r="I186" i="30"/>
  <c r="I26" i="30" s="1"/>
  <c r="F112" i="2" s="1"/>
  <c r="F114" i="2" s="1"/>
  <c r="F129" i="2" s="1"/>
  <c r="AD129" i="2" s="1"/>
  <c r="H186" i="30"/>
  <c r="H21" i="2"/>
  <c r="AF21" i="2" s="1"/>
  <c r="K19" i="30"/>
  <c r="L131" i="30"/>
  <c r="L84" i="30" s="1"/>
  <c r="K92" i="30"/>
  <c r="K91" i="30"/>
  <c r="K87" i="30"/>
  <c r="I13" i="25" l="1"/>
  <c r="H12" i="41" s="1"/>
  <c r="AE58" i="2"/>
  <c r="C75" i="23"/>
  <c r="C74" i="23"/>
  <c r="G20" i="39"/>
  <c r="C84" i="23"/>
  <c r="H80" i="41"/>
  <c r="P178" i="30"/>
  <c r="H26" i="30"/>
  <c r="P186" i="30"/>
  <c r="G12" i="41"/>
  <c r="D13" i="36"/>
  <c r="E13" i="36" s="1"/>
  <c r="F13" i="36" s="1"/>
  <c r="H166" i="30"/>
  <c r="P166" i="30" s="1"/>
  <c r="P165" i="30"/>
  <c r="K147" i="30"/>
  <c r="F132" i="2"/>
  <c r="H23" i="2"/>
  <c r="H22" i="2"/>
  <c r="D84" i="23"/>
  <c r="D74" i="23"/>
  <c r="H20" i="39"/>
  <c r="D75" i="23"/>
  <c r="K79" i="25"/>
  <c r="J80" i="41" s="1"/>
  <c r="J160" i="30"/>
  <c r="J184" i="30" s="1"/>
  <c r="J161" i="30"/>
  <c r="J185" i="30" s="1"/>
  <c r="J159" i="30"/>
  <c r="J155" i="30"/>
  <c r="L89" i="30"/>
  <c r="L83" i="30"/>
  <c r="L90" i="30"/>
  <c r="L86" i="30"/>
  <c r="L82" i="30"/>
  <c r="L85" i="30"/>
  <c r="L81" i="30"/>
  <c r="K69" i="30"/>
  <c r="K95" i="30"/>
  <c r="K94" i="30"/>
  <c r="K46" i="30"/>
  <c r="K51" i="30" s="1"/>
  <c r="K153" i="30" s="1"/>
  <c r="K68" i="30"/>
  <c r="L102" i="30"/>
  <c r="L133" i="30"/>
  <c r="L135" i="30" s="1"/>
  <c r="AD132" i="2" l="1"/>
  <c r="H18" i="25"/>
  <c r="E112" i="2"/>
  <c r="P26" i="30"/>
  <c r="L8" i="30"/>
  <c r="L10" i="30" s="1"/>
  <c r="L137" i="30"/>
  <c r="J156" i="30"/>
  <c r="J195" i="30"/>
  <c r="K190" i="30"/>
  <c r="L189" i="30" s="1"/>
  <c r="E74" i="23"/>
  <c r="I20" i="39"/>
  <c r="L79" i="25"/>
  <c r="K80" i="41" s="1"/>
  <c r="E84" i="23"/>
  <c r="E75" i="23"/>
  <c r="J163" i="30"/>
  <c r="J178" i="30" s="1"/>
  <c r="J183" i="30"/>
  <c r="J186" i="30" s="1"/>
  <c r="J26" i="30" s="1"/>
  <c r="G112" i="2" s="1"/>
  <c r="G114" i="2" s="1"/>
  <c r="G129" i="2" s="1"/>
  <c r="AE129" i="2" s="1"/>
  <c r="K70" i="30"/>
  <c r="K75" i="30" s="1"/>
  <c r="K96" i="30"/>
  <c r="K101" i="30" s="1"/>
  <c r="K152" i="30" s="1"/>
  <c r="I19" i="2"/>
  <c r="AG19" i="2" s="1"/>
  <c r="L16" i="30"/>
  <c r="L136" i="30"/>
  <c r="E114" i="2" l="1"/>
  <c r="L146" i="30"/>
  <c r="L147" i="30" s="1"/>
  <c r="L138" i="30"/>
  <c r="G132" i="2"/>
  <c r="K193" i="30"/>
  <c r="K25" i="30" s="1"/>
  <c r="H58" i="2" s="1"/>
  <c r="F75" i="23"/>
  <c r="F84" i="23"/>
  <c r="J20" i="39"/>
  <c r="F74" i="23"/>
  <c r="K176" i="30"/>
  <c r="K177" i="30" s="1"/>
  <c r="J165" i="30"/>
  <c r="J166" i="30" s="1"/>
  <c r="K150" i="30"/>
  <c r="I21" i="2"/>
  <c r="L19" i="30"/>
  <c r="L87" i="30"/>
  <c r="L91" i="30"/>
  <c r="L92" i="30"/>
  <c r="AG21" i="2" l="1"/>
  <c r="J22" i="2"/>
  <c r="J23" i="2"/>
  <c r="AF58" i="2"/>
  <c r="J13" i="25"/>
  <c r="I12" i="41" s="1"/>
  <c r="AE132" i="2"/>
  <c r="I18" i="25"/>
  <c r="E129" i="2"/>
  <c r="I22" i="2"/>
  <c r="I23" i="2"/>
  <c r="G133" i="2"/>
  <c r="K161" i="30"/>
  <c r="K185" i="30" s="1"/>
  <c r="K155" i="30"/>
  <c r="K159" i="30"/>
  <c r="K183" i="30" s="1"/>
  <c r="K160" i="30"/>
  <c r="K184" i="30" s="1"/>
  <c r="L68" i="30"/>
  <c r="L94" i="30"/>
  <c r="L46" i="30"/>
  <c r="L51" i="30" s="1"/>
  <c r="L153" i="30" s="1"/>
  <c r="L69" i="30"/>
  <c r="L95" i="30"/>
  <c r="H17" i="41" l="1"/>
  <c r="D37" i="46"/>
  <c r="D38" i="46" s="1"/>
  <c r="G101" i="20"/>
  <c r="E132" i="2"/>
  <c r="K156" i="30"/>
  <c r="K195" i="30"/>
  <c r="L190" i="30"/>
  <c r="L193" i="30" s="1"/>
  <c r="L25" i="30" s="1"/>
  <c r="I58" i="2" s="1"/>
  <c r="K163" i="30"/>
  <c r="K186" i="30"/>
  <c r="K26" i="30" s="1"/>
  <c r="H112" i="2" s="1"/>
  <c r="H114" i="2" s="1"/>
  <c r="H129" i="2" s="1"/>
  <c r="AF129" i="2" s="1"/>
  <c r="L96" i="30"/>
  <c r="L101" i="30" s="1"/>
  <c r="L152" i="30" s="1"/>
  <c r="L70" i="30"/>
  <c r="AG58" i="2" l="1"/>
  <c r="K13" i="25"/>
  <c r="J12" i="41" s="1"/>
  <c r="E133" i="2"/>
  <c r="F133" i="2"/>
  <c r="H132" i="2"/>
  <c r="K165" i="30"/>
  <c r="K166" i="30" s="1"/>
  <c r="L176" i="30"/>
  <c r="L177" i="30" s="1"/>
  <c r="K178" i="30"/>
  <c r="L75" i="30"/>
  <c r="L150" i="30"/>
  <c r="L161" i="30" s="1"/>
  <c r="G180" i="30"/>
  <c r="J179" i="30"/>
  <c r="J180" i="30" s="1"/>
  <c r="J24" i="30" s="1"/>
  <c r="J18" i="25" l="1"/>
  <c r="AF132" i="2"/>
  <c r="F101" i="20"/>
  <c r="C37" i="46"/>
  <c r="C38" i="46" s="1"/>
  <c r="H136" i="20"/>
  <c r="D18" i="36"/>
  <c r="E18" i="36" s="1"/>
  <c r="F18" i="36" s="1"/>
  <c r="G17" i="41"/>
  <c r="H133" i="2"/>
  <c r="K12" i="41"/>
  <c r="L160" i="30"/>
  <c r="L184" i="30" s="1"/>
  <c r="L159" i="30"/>
  <c r="L185" i="30"/>
  <c r="L155" i="30"/>
  <c r="G194" i="30"/>
  <c r="G196" i="30" s="1"/>
  <c r="G24" i="30"/>
  <c r="D27" i="2" s="1"/>
  <c r="G27" i="2"/>
  <c r="J194" i="30"/>
  <c r="J196" i="30" s="1"/>
  <c r="I179" i="30"/>
  <c r="I180" i="30" s="1"/>
  <c r="I24" i="30" s="1"/>
  <c r="K179" i="30"/>
  <c r="K180" i="30" s="1"/>
  <c r="K24" i="30" s="1"/>
  <c r="AE27" i="2" l="1"/>
  <c r="I12" i="25"/>
  <c r="E37" i="46"/>
  <c r="E38" i="46" s="1"/>
  <c r="I17" i="41"/>
  <c r="H101" i="20"/>
  <c r="H180" i="30"/>
  <c r="P180" i="30" s="1"/>
  <c r="P179" i="30"/>
  <c r="L156" i="30"/>
  <c r="L195" i="30"/>
  <c r="D29" i="2"/>
  <c r="D28" i="2"/>
  <c r="L163" i="30"/>
  <c r="L178" i="30" s="1"/>
  <c r="L179" i="30" s="1"/>
  <c r="L180" i="30" s="1"/>
  <c r="L183" i="30"/>
  <c r="L186" i="30" s="1"/>
  <c r="L26" i="30" s="1"/>
  <c r="I112" i="2" s="1"/>
  <c r="I114" i="2" s="1"/>
  <c r="I129" i="2" s="1"/>
  <c r="AG129" i="2" s="1"/>
  <c r="H194" i="30"/>
  <c r="F27" i="2"/>
  <c r="I194" i="30"/>
  <c r="I196" i="30" s="1"/>
  <c r="K194" i="30"/>
  <c r="K196" i="30" s="1"/>
  <c r="H27" i="2"/>
  <c r="J12" i="25" l="1"/>
  <c r="I11" i="41" s="1"/>
  <c r="I19" i="41" s="1"/>
  <c r="I28" i="41" s="1"/>
  <c r="AF27" i="2"/>
  <c r="AD27" i="2"/>
  <c r="H12" i="25"/>
  <c r="H24" i="30"/>
  <c r="E27" i="2" s="1"/>
  <c r="H196" i="30"/>
  <c r="P196" i="30" s="1"/>
  <c r="P194" i="30"/>
  <c r="I132" i="2"/>
  <c r="G29" i="2"/>
  <c r="H29" i="2"/>
  <c r="H28" i="2"/>
  <c r="G28" i="2"/>
  <c r="L194" i="30"/>
  <c r="L196" i="30" s="1"/>
  <c r="L165" i="30"/>
  <c r="L166" i="30" s="1"/>
  <c r="L24" i="30"/>
  <c r="I27" i="2" s="1"/>
  <c r="E11" i="46"/>
  <c r="E98" i="46" s="1"/>
  <c r="H100" i="20"/>
  <c r="H102" i="20" s="1"/>
  <c r="J20" i="25"/>
  <c r="J29" i="25" s="1"/>
  <c r="H11" i="41"/>
  <c r="H19" i="41" s="1"/>
  <c r="H28" i="41" s="1"/>
  <c r="H4" i="20" l="1"/>
  <c r="H321" i="20"/>
  <c r="K12" i="25"/>
  <c r="J11" i="41" s="1"/>
  <c r="AG27" i="2"/>
  <c r="J29" i="2"/>
  <c r="J28" i="2"/>
  <c r="AG132" i="2"/>
  <c r="K18" i="25"/>
  <c r="K20" i="25" s="1"/>
  <c r="J133" i="2"/>
  <c r="P24" i="30"/>
  <c r="F29" i="2"/>
  <c r="G11" i="41"/>
  <c r="G19" i="41" s="1"/>
  <c r="G28" i="41" s="1"/>
  <c r="E28" i="2"/>
  <c r="E29" i="2"/>
  <c r="F28" i="2"/>
  <c r="I133" i="2"/>
  <c r="J100" i="20"/>
  <c r="I28" i="2"/>
  <c r="I29" i="2"/>
  <c r="K17" i="41"/>
  <c r="G89" i="23"/>
  <c r="F11" i="46"/>
  <c r="I20" i="25"/>
  <c r="I29" i="25" s="1"/>
  <c r="G100" i="20"/>
  <c r="G102" i="20" s="1"/>
  <c r="D11" i="46"/>
  <c r="D98" i="46" s="1"/>
  <c r="H322" i="20"/>
  <c r="H10" i="39"/>
  <c r="H403" i="20"/>
  <c r="E12" i="46"/>
  <c r="G4" i="20" l="1"/>
  <c r="G321" i="20"/>
  <c r="I100" i="20"/>
  <c r="F37" i="46"/>
  <c r="F38" i="46" s="1"/>
  <c r="J17" i="41"/>
  <c r="J19" i="41" s="1"/>
  <c r="J28" i="41" s="1"/>
  <c r="I101" i="20"/>
  <c r="G10" i="46"/>
  <c r="C11" i="46"/>
  <c r="C98" i="46" s="1"/>
  <c r="H132" i="20"/>
  <c r="H138" i="20" s="1"/>
  <c r="I134" i="20" s="1"/>
  <c r="J134" i="20" s="1"/>
  <c r="F100" i="20"/>
  <c r="F102" i="20" s="1"/>
  <c r="D12" i="36"/>
  <c r="E12" i="36" s="1"/>
  <c r="F12" i="36" s="1"/>
  <c r="H20" i="25"/>
  <c r="H29" i="25" s="1"/>
  <c r="F403" i="20" s="1"/>
  <c r="K29" i="25"/>
  <c r="I321" i="20" s="1"/>
  <c r="D20" i="36"/>
  <c r="D29" i="36" s="1"/>
  <c r="G11" i="46"/>
  <c r="K11" i="41"/>
  <c r="K19" i="41" s="1"/>
  <c r="K28" i="41" s="1"/>
  <c r="G36" i="46"/>
  <c r="G37" i="46"/>
  <c r="L20" i="25"/>
  <c r="J101" i="20"/>
  <c r="J102" i="20" s="1"/>
  <c r="E90" i="23"/>
  <c r="E89" i="23"/>
  <c r="G322" i="20"/>
  <c r="G10" i="39"/>
  <c r="G403" i="20"/>
  <c r="D12" i="46"/>
  <c r="F12" i="46"/>
  <c r="G90" i="23"/>
  <c r="F10" i="39" l="1"/>
  <c r="F321" i="20"/>
  <c r="F322" i="20"/>
  <c r="I102" i="20"/>
  <c r="F98" i="46"/>
  <c r="G12" i="46"/>
  <c r="C12" i="46"/>
  <c r="I403" i="20"/>
  <c r="I4" i="20"/>
  <c r="F4" i="20"/>
  <c r="L132" i="20"/>
  <c r="B169" i="20"/>
  <c r="E20" i="36"/>
  <c r="F20" i="36" s="1"/>
  <c r="I136" i="20"/>
  <c r="J136" i="20" s="1"/>
  <c r="I322" i="20"/>
  <c r="I10" i="39"/>
  <c r="L29" i="25"/>
  <c r="J321" i="20" s="1"/>
  <c r="Q20" i="25"/>
  <c r="G98" i="46"/>
  <c r="I89" i="23"/>
  <c r="G38" i="46"/>
  <c r="G97" i="46"/>
  <c r="H90" i="23"/>
  <c r="F90" i="23"/>
  <c r="D80" i="23"/>
  <c r="I90" i="23"/>
  <c r="F89" i="23"/>
  <c r="H89" i="23"/>
  <c r="B80" i="23"/>
  <c r="I12" i="46" l="1"/>
  <c r="J10" i="39"/>
  <c r="J4" i="20"/>
  <c r="E29" i="36"/>
  <c r="F29" i="36" s="1"/>
  <c r="J322" i="20"/>
  <c r="J403" i="20"/>
  <c r="I38" i="46"/>
  <c r="F80" i="23"/>
  <c r="C80" i="23"/>
  <c r="E80" i="23"/>
  <c r="E272" i="2"/>
  <c r="E203" i="2"/>
  <c r="E206" i="2" l="1"/>
  <c r="E205" i="2"/>
  <c r="E248" i="2"/>
  <c r="F362" i="20" s="1"/>
  <c r="F194" i="2"/>
  <c r="F241" i="2" l="1"/>
  <c r="E256" i="2"/>
  <c r="E250" i="2"/>
  <c r="F264" i="2"/>
  <c r="E273" i="2"/>
  <c r="E274" i="2" l="1"/>
  <c r="E277" i="2" s="1"/>
  <c r="F203" i="2"/>
  <c r="F265" i="2"/>
  <c r="H32" i="25" l="1"/>
  <c r="AD203" i="2"/>
  <c r="G241" i="2"/>
  <c r="G362" i="20"/>
  <c r="E279" i="2"/>
  <c r="F205" i="2"/>
  <c r="F206" i="2"/>
  <c r="F254" i="2"/>
  <c r="F256" i="2" s="1"/>
  <c r="F274" i="2" s="1"/>
  <c r="AD274" i="2" s="1"/>
  <c r="F250" i="2"/>
  <c r="F272" i="2"/>
  <c r="AD272" i="2" s="1"/>
  <c r="F268" i="2"/>
  <c r="F275" i="2" s="1"/>
  <c r="AD275" i="2" s="1"/>
  <c r="E278" i="2"/>
  <c r="G194" i="2"/>
  <c r="G247" i="2"/>
  <c r="F273" i="2"/>
  <c r="AD273" i="2" s="1"/>
  <c r="F277" i="20" l="1"/>
  <c r="D32" i="36"/>
  <c r="E32" i="36" s="1"/>
  <c r="F32" i="36" s="1"/>
  <c r="G31" i="41"/>
  <c r="F201" i="20"/>
  <c r="C53" i="46"/>
  <c r="C54" i="46" s="1"/>
  <c r="D60" i="45"/>
  <c r="D61" i="45" s="1"/>
  <c r="H60" i="45"/>
  <c r="H61" i="45" s="1"/>
  <c r="G264" i="2"/>
  <c r="G195" i="2"/>
  <c r="F277" i="2"/>
  <c r="F239" i="2" s="1"/>
  <c r="G196" i="2"/>
  <c r="G248" i="2"/>
  <c r="H362" i="20" s="1"/>
  <c r="H33" i="25" l="1"/>
  <c r="AD277" i="2"/>
  <c r="F279" i="2"/>
  <c r="G265" i="2"/>
  <c r="G268" i="2" s="1"/>
  <c r="G275" i="2" s="1"/>
  <c r="AE275" i="2" s="1"/>
  <c r="G221" i="2"/>
  <c r="F278" i="2"/>
  <c r="G203" i="2"/>
  <c r="H241" i="2"/>
  <c r="H247" i="2"/>
  <c r="G273" i="2"/>
  <c r="AE273" i="2" s="1"/>
  <c r="I32" i="25" l="1"/>
  <c r="AE203" i="2"/>
  <c r="F278" i="20"/>
  <c r="F202" i="20"/>
  <c r="G32" i="41"/>
  <c r="D33" i="36"/>
  <c r="C61" i="46"/>
  <c r="C62" i="46" s="1"/>
  <c r="G254" i="2"/>
  <c r="G256" i="2" s="1"/>
  <c r="G274" i="2" s="1"/>
  <c r="AE274" i="2" s="1"/>
  <c r="G205" i="2"/>
  <c r="G206" i="2"/>
  <c r="G250" i="2"/>
  <c r="G226" i="2"/>
  <c r="G272" i="2" s="1"/>
  <c r="AE272" i="2" s="1"/>
  <c r="H194" i="2"/>
  <c r="E33" i="36" l="1"/>
  <c r="H31" i="41"/>
  <c r="D53" i="46"/>
  <c r="D54" i="46" s="1"/>
  <c r="N240" i="20"/>
  <c r="G277" i="20"/>
  <c r="G201" i="20"/>
  <c r="G277" i="2"/>
  <c r="E97" i="23"/>
  <c r="H264" i="2"/>
  <c r="H196" i="2"/>
  <c r="H195" i="2"/>
  <c r="F33" i="36" l="1"/>
  <c r="AE277" i="2"/>
  <c r="I33" i="25"/>
  <c r="G278" i="2"/>
  <c r="G279" i="2"/>
  <c r="H221" i="2"/>
  <c r="H265" i="2"/>
  <c r="H203" i="2"/>
  <c r="H244" i="2"/>
  <c r="H248" i="2" s="1"/>
  <c r="I362" i="20" s="1"/>
  <c r="AF203" i="2" l="1"/>
  <c r="J32" i="25"/>
  <c r="G202" i="20"/>
  <c r="H32" i="41"/>
  <c r="D61" i="46"/>
  <c r="G278" i="20"/>
  <c r="N241" i="20"/>
  <c r="H250" i="2"/>
  <c r="H206" i="2"/>
  <c r="H205" i="2"/>
  <c r="H226" i="2"/>
  <c r="H272" i="2" s="1"/>
  <c r="AF272" i="2" s="1"/>
  <c r="H268" i="2"/>
  <c r="H275" i="2" s="1"/>
  <c r="AF275" i="2" s="1"/>
  <c r="E98" i="23"/>
  <c r="I194" i="2"/>
  <c r="H254" i="2"/>
  <c r="H256" i="2" s="1"/>
  <c r="H274" i="2" s="1"/>
  <c r="AF274" i="2" s="1"/>
  <c r="I247" i="2"/>
  <c r="H273" i="2"/>
  <c r="AF273" i="2" s="1"/>
  <c r="I241" i="2"/>
  <c r="D62" i="46" l="1"/>
  <c r="I31" i="41"/>
  <c r="H277" i="20"/>
  <c r="E53" i="46"/>
  <c r="E54" i="46" s="1"/>
  <c r="F97" i="23"/>
  <c r="I264" i="2"/>
  <c r="I196" i="2"/>
  <c r="I195" i="2"/>
  <c r="H277" i="2"/>
  <c r="H279" i="2" l="1"/>
  <c r="J33" i="25"/>
  <c r="AF277" i="2"/>
  <c r="I221" i="2"/>
  <c r="F98" i="23"/>
  <c r="I244" i="2"/>
  <c r="I248" i="2" s="1"/>
  <c r="I265" i="2"/>
  <c r="I268" i="2" s="1"/>
  <c r="I203" i="2"/>
  <c r="H278" i="2"/>
  <c r="J362" i="20" l="1"/>
  <c r="J247" i="2"/>
  <c r="J241" i="2"/>
  <c r="K32" i="25"/>
  <c r="J194" i="2"/>
  <c r="AG203" i="2"/>
  <c r="E61" i="46"/>
  <c r="H278" i="20"/>
  <c r="I32" i="41"/>
  <c r="I206" i="2"/>
  <c r="I205" i="2"/>
  <c r="I273" i="2"/>
  <c r="AG273" i="2" s="1"/>
  <c r="I250" i="2"/>
  <c r="I275" i="2"/>
  <c r="AG275" i="2" s="1"/>
  <c r="I226" i="2"/>
  <c r="I272" i="2" s="1"/>
  <c r="AG272" i="2" s="1"/>
  <c r="I254" i="2"/>
  <c r="I256" i="2" s="1"/>
  <c r="I274" i="2" s="1"/>
  <c r="AG274" i="2" s="1"/>
  <c r="E62" i="46" l="1"/>
  <c r="J195" i="2"/>
  <c r="J196" i="2"/>
  <c r="J244" i="2" s="1"/>
  <c r="J248" i="2" s="1"/>
  <c r="J264" i="2"/>
  <c r="J31" i="41"/>
  <c r="F53" i="46"/>
  <c r="F54" i="46" s="1"/>
  <c r="I277" i="20"/>
  <c r="G97" i="23"/>
  <c r="I277" i="2"/>
  <c r="G98" i="23"/>
  <c r="J273" i="2" l="1"/>
  <c r="AH273" i="2" s="1"/>
  <c r="I279" i="2"/>
  <c r="K33" i="25"/>
  <c r="AG277" i="2"/>
  <c r="J221" i="2"/>
  <c r="J226" i="2" s="1"/>
  <c r="J272" i="2" s="1"/>
  <c r="J265" i="2"/>
  <c r="J268" i="2" s="1"/>
  <c r="J275" i="2" s="1"/>
  <c r="AH275" i="2" s="1"/>
  <c r="J203" i="2"/>
  <c r="I278" i="2"/>
  <c r="J32" i="41" l="1"/>
  <c r="F61" i="46"/>
  <c r="I278" i="20"/>
  <c r="AH203" i="2"/>
  <c r="L32" i="25"/>
  <c r="J205" i="2"/>
  <c r="J254" i="2"/>
  <c r="J256" i="2" s="1"/>
  <c r="J274" i="2" s="1"/>
  <c r="AH274" i="2" s="1"/>
  <c r="J206" i="2"/>
  <c r="AH272" i="2"/>
  <c r="J250" i="2"/>
  <c r="J277" i="2" l="1"/>
  <c r="F62" i="46"/>
  <c r="K31" i="41"/>
  <c r="J277" i="20"/>
  <c r="G52" i="46"/>
  <c r="G53" i="46"/>
  <c r="G54" i="46" l="1"/>
  <c r="I54" i="46" s="1"/>
  <c r="AH277" i="2"/>
  <c r="L33" i="25"/>
  <c r="J278" i="2"/>
  <c r="J279" i="2"/>
  <c r="H97" i="23"/>
  <c r="K32" i="41" l="1"/>
  <c r="J278" i="20"/>
  <c r="G60" i="46"/>
  <c r="G61" i="46"/>
  <c r="I97" i="23"/>
  <c r="H98" i="23"/>
  <c r="G62" i="46" l="1"/>
  <c r="I62" i="46" l="1"/>
  <c r="I98" i="23" l="1"/>
  <c r="E356" i="2" l="1"/>
  <c r="E353" i="2"/>
  <c r="AD353" i="2" l="1"/>
  <c r="F355" i="2" l="1"/>
  <c r="F349" i="2" s="1"/>
  <c r="G353" i="2"/>
  <c r="G355" i="2" s="1"/>
  <c r="H46" i="25"/>
  <c r="AD355" i="2" l="1"/>
  <c r="F356" i="2"/>
  <c r="AE353" i="2"/>
  <c r="H353" i="2"/>
  <c r="I353" i="2" s="1"/>
  <c r="F206" i="20"/>
  <c r="F208" i="20" s="1"/>
  <c r="B236" i="20" s="1"/>
  <c r="F282" i="20"/>
  <c r="F284" i="20" s="1"/>
  <c r="F283" i="20" s="1"/>
  <c r="D46" i="36"/>
  <c r="H47" i="25"/>
  <c r="G45" i="41"/>
  <c r="G356" i="2"/>
  <c r="AE355" i="2"/>
  <c r="I46" i="25"/>
  <c r="AF353" i="2"/>
  <c r="H355" i="2"/>
  <c r="G46" i="41" l="1"/>
  <c r="H45" i="41"/>
  <c r="G206" i="20"/>
  <c r="G208" i="20" s="1"/>
  <c r="G282" i="20"/>
  <c r="G284" i="20" s="1"/>
  <c r="G283" i="20" s="1"/>
  <c r="I47" i="25"/>
  <c r="F323" i="20"/>
  <c r="F38" i="20"/>
  <c r="F41" i="20"/>
  <c r="H54" i="25"/>
  <c r="C71" i="46"/>
  <c r="I355" i="2"/>
  <c r="J353" i="2"/>
  <c r="AG353" i="2"/>
  <c r="E46" i="36"/>
  <c r="D47" i="36"/>
  <c r="D54" i="36" s="1"/>
  <c r="D55" i="36" s="1"/>
  <c r="D59" i="36" s="1"/>
  <c r="D73" i="36" s="1"/>
  <c r="D80" i="36" s="1"/>
  <c r="D91" i="36" s="1"/>
  <c r="AF355" i="2"/>
  <c r="H356" i="2"/>
  <c r="J46" i="25"/>
  <c r="AG355" i="2" l="1"/>
  <c r="I356" i="2"/>
  <c r="K46" i="25"/>
  <c r="I45" i="41"/>
  <c r="J47" i="25"/>
  <c r="H282" i="20"/>
  <c r="H284" i="20" s="1"/>
  <c r="H283" i="20" s="1"/>
  <c r="E47" i="36"/>
  <c r="F46" i="36"/>
  <c r="C101" i="46"/>
  <c r="C72" i="46"/>
  <c r="H46" i="41"/>
  <c r="F91" i="23" s="1"/>
  <c r="F406" i="20"/>
  <c r="H55" i="25"/>
  <c r="F11" i="39"/>
  <c r="F12" i="39" s="1"/>
  <c r="F5" i="20"/>
  <c r="F74" i="20" s="1"/>
  <c r="G323" i="20"/>
  <c r="D71" i="46"/>
  <c r="I54" i="25"/>
  <c r="G38" i="20"/>
  <c r="G41" i="20"/>
  <c r="G53" i="41"/>
  <c r="E92" i="23" s="1"/>
  <c r="AH353" i="2"/>
  <c r="J355" i="2"/>
  <c r="E91" i="23"/>
  <c r="I46" i="41" l="1"/>
  <c r="G91" i="23" s="1"/>
  <c r="F47" i="36"/>
  <c r="E54" i="36"/>
  <c r="I282" i="20"/>
  <c r="I284" i="20" s="1"/>
  <c r="I283" i="20" s="1"/>
  <c r="J45" i="41"/>
  <c r="K47" i="25"/>
  <c r="H59" i="25"/>
  <c r="H107" i="25"/>
  <c r="C83" i="46"/>
  <c r="C84" i="46" s="1"/>
  <c r="E90" i="46" s="1"/>
  <c r="E91" i="46" s="1"/>
  <c r="D101" i="46"/>
  <c r="D72" i="46"/>
  <c r="D83" i="46" s="1"/>
  <c r="H53" i="41"/>
  <c r="C81" i="23" s="1"/>
  <c r="AH355" i="2"/>
  <c r="J356" i="2"/>
  <c r="L46" i="25"/>
  <c r="E93" i="23"/>
  <c r="G55" i="41"/>
  <c r="G59" i="41" s="1"/>
  <c r="G5" i="20"/>
  <c r="G74" i="20" s="1"/>
  <c r="G11" i="39"/>
  <c r="G12" i="39" s="1"/>
  <c r="G406" i="20"/>
  <c r="N242" i="20"/>
  <c r="I55" i="25"/>
  <c r="B81" i="23"/>
  <c r="F407" i="20"/>
  <c r="F409" i="20" s="1"/>
  <c r="F411" i="20"/>
  <c r="F412" i="20" s="1"/>
  <c r="H323" i="20"/>
  <c r="H41" i="20"/>
  <c r="H38" i="20"/>
  <c r="J54" i="25"/>
  <c r="E71" i="46"/>
  <c r="D84" i="46" l="1"/>
  <c r="G74" i="41"/>
  <c r="G82" i="41" s="1"/>
  <c r="G92" i="41" s="1"/>
  <c r="H57" i="41"/>
  <c r="F54" i="36"/>
  <c r="E55" i="36"/>
  <c r="G407" i="20"/>
  <c r="G411" i="20"/>
  <c r="F16" i="39"/>
  <c r="E93" i="46"/>
  <c r="H104" i="25"/>
  <c r="F6" i="20"/>
  <c r="I57" i="25"/>
  <c r="B83" i="23"/>
  <c r="F39" i="20"/>
  <c r="H73" i="25"/>
  <c r="B73" i="23"/>
  <c r="E101" i="46"/>
  <c r="E72" i="46"/>
  <c r="I107" i="25"/>
  <c r="I59" i="25"/>
  <c r="H55" i="41"/>
  <c r="F93" i="23"/>
  <c r="I41" i="20"/>
  <c r="I38" i="20"/>
  <c r="I323" i="20"/>
  <c r="K54" i="25"/>
  <c r="F71" i="46"/>
  <c r="J55" i="25"/>
  <c r="H5" i="20"/>
  <c r="H74" i="20" s="1"/>
  <c r="H406" i="20"/>
  <c r="H11" i="39"/>
  <c r="H12" i="39" s="1"/>
  <c r="O240" i="20"/>
  <c r="O241" i="20"/>
  <c r="J282" i="20"/>
  <c r="J284" i="20" s="1"/>
  <c r="J283" i="20" s="1"/>
  <c r="K45" i="41"/>
  <c r="L47" i="25"/>
  <c r="G70" i="46"/>
  <c r="F92" i="23"/>
  <c r="J46" i="41"/>
  <c r="I53" i="41"/>
  <c r="D81" i="23" s="1"/>
  <c r="O242" i="20" l="1"/>
  <c r="N244" i="20" s="1"/>
  <c r="H59" i="41"/>
  <c r="E96" i="23" s="1"/>
  <c r="H411" i="20"/>
  <c r="H407" i="20"/>
  <c r="G100" i="46"/>
  <c r="F101" i="46"/>
  <c r="F72" i="46"/>
  <c r="F83" i="46" s="1"/>
  <c r="H80" i="25"/>
  <c r="F324" i="20"/>
  <c r="F40" i="20"/>
  <c r="F75" i="20" s="1"/>
  <c r="F73" i="20" s="1"/>
  <c r="I406" i="20"/>
  <c r="I11" i="39"/>
  <c r="I12" i="39" s="1"/>
  <c r="I5" i="20"/>
  <c r="I74" i="20" s="1"/>
  <c r="K55" i="25"/>
  <c r="E83" i="46"/>
  <c r="E84" i="46" s="1"/>
  <c r="E94" i="23"/>
  <c r="I55" i="41"/>
  <c r="G93" i="23"/>
  <c r="J107" i="25"/>
  <c r="G16" i="39"/>
  <c r="G6" i="20"/>
  <c r="J57" i="25"/>
  <c r="J59" i="25" s="1"/>
  <c r="C83" i="23"/>
  <c r="I104" i="25"/>
  <c r="G39" i="20"/>
  <c r="I73" i="25"/>
  <c r="C82" i="23"/>
  <c r="G14" i="39"/>
  <c r="G401" i="20"/>
  <c r="C73" i="23"/>
  <c r="C72" i="23"/>
  <c r="F55" i="36"/>
  <c r="E59" i="36"/>
  <c r="G92" i="23"/>
  <c r="J53" i="41"/>
  <c r="Q47" i="25"/>
  <c r="J323" i="20"/>
  <c r="J38" i="20"/>
  <c r="J41" i="20"/>
  <c r="L54" i="25"/>
  <c r="G71" i="46"/>
  <c r="G101" i="46" s="1"/>
  <c r="H91" i="23"/>
  <c r="K46" i="41"/>
  <c r="I57" i="41" l="1"/>
  <c r="I59" i="41" s="1"/>
  <c r="F95" i="23" s="1"/>
  <c r="H74" i="41"/>
  <c r="H82" i="41" s="1"/>
  <c r="H92" i="41" s="1"/>
  <c r="E95" i="23"/>
  <c r="D72" i="23"/>
  <c r="G72" i="46"/>
  <c r="H16" i="39"/>
  <c r="K57" i="25"/>
  <c r="E72" i="23" s="1"/>
  <c r="H39" i="20"/>
  <c r="D83" i="23"/>
  <c r="J104" i="25"/>
  <c r="J73" i="25"/>
  <c r="H6" i="20"/>
  <c r="J5" i="20"/>
  <c r="J74" i="20" s="1"/>
  <c r="J11" i="39"/>
  <c r="J12" i="39" s="1"/>
  <c r="J406" i="20"/>
  <c r="L55" i="25"/>
  <c r="F59" i="36"/>
  <c r="E73" i="36"/>
  <c r="H93" i="23"/>
  <c r="J55" i="41"/>
  <c r="F94" i="23"/>
  <c r="H92" i="23"/>
  <c r="G40" i="20"/>
  <c r="G75" i="20" s="1"/>
  <c r="G73" i="20" s="1"/>
  <c r="G324" i="20"/>
  <c r="I80" i="25"/>
  <c r="K107" i="25"/>
  <c r="H91" i="25"/>
  <c r="G412" i="20"/>
  <c r="G409" i="20"/>
  <c r="H14" i="39"/>
  <c r="H401" i="20"/>
  <c r="D82" i="23"/>
  <c r="D73" i="23"/>
  <c r="I411" i="20"/>
  <c r="I407" i="20"/>
  <c r="F84" i="46"/>
  <c r="K53" i="41"/>
  <c r="F81" i="23" s="1"/>
  <c r="I91" i="23"/>
  <c r="E81" i="23"/>
  <c r="F393" i="2" l="1"/>
  <c r="F325" i="20"/>
  <c r="I92" i="23"/>
  <c r="K59" i="25"/>
  <c r="G93" i="46" s="1"/>
  <c r="G83" i="46"/>
  <c r="G84" i="46" s="1"/>
  <c r="I72" i="46"/>
  <c r="I84" i="46" s="1"/>
  <c r="G90" i="46" s="1"/>
  <c r="G91" i="46" s="1"/>
  <c r="E80" i="36"/>
  <c r="F73" i="36"/>
  <c r="J11" i="22"/>
  <c r="H105" i="25"/>
  <c r="F22" i="39"/>
  <c r="F27" i="39" s="1"/>
  <c r="F33" i="39" s="1"/>
  <c r="F42" i="39" s="1"/>
  <c r="I91" i="25"/>
  <c r="F96" i="23"/>
  <c r="J57" i="41"/>
  <c r="J59" i="41" s="1"/>
  <c r="I74" i="41"/>
  <c r="I82" i="41" s="1"/>
  <c r="I92" i="41" s="1"/>
  <c r="L107" i="25"/>
  <c r="H324" i="20"/>
  <c r="J80" i="25"/>
  <c r="H40" i="20"/>
  <c r="H75" i="20" s="1"/>
  <c r="H73" i="20" s="1"/>
  <c r="I14" i="39"/>
  <c r="E82" i="23"/>
  <c r="I401" i="20"/>
  <c r="H412" i="20"/>
  <c r="H409" i="20"/>
  <c r="I93" i="23"/>
  <c r="K55" i="41"/>
  <c r="J407" i="20"/>
  <c r="J411" i="20"/>
  <c r="G393" i="2" l="1"/>
  <c r="G325" i="20"/>
  <c r="L57" i="25"/>
  <c r="L59" i="25" s="1"/>
  <c r="J39" i="20" s="1"/>
  <c r="I39" i="20"/>
  <c r="E73" i="23"/>
  <c r="E83" i="23"/>
  <c r="I6" i="20"/>
  <c r="K73" i="25"/>
  <c r="I40" i="20" s="1"/>
  <c r="I75" i="20" s="1"/>
  <c r="I73" i="20" s="1"/>
  <c r="K104" i="25"/>
  <c r="I16" i="39"/>
  <c r="I105" i="25"/>
  <c r="K11" i="22"/>
  <c r="AD393" i="2"/>
  <c r="G22" i="39"/>
  <c r="G27" i="39" s="1"/>
  <c r="G33" i="39" s="1"/>
  <c r="G42" i="39" s="1"/>
  <c r="I409" i="20"/>
  <c r="I412" i="20"/>
  <c r="G94" i="23"/>
  <c r="G95" i="23"/>
  <c r="F82" i="23"/>
  <c r="G96" i="23"/>
  <c r="J74" i="41"/>
  <c r="J82" i="41" s="1"/>
  <c r="J92" i="41" s="1"/>
  <c r="K57" i="41"/>
  <c r="K59" i="41" s="1"/>
  <c r="J91" i="25"/>
  <c r="F80" i="36"/>
  <c r="E91" i="36"/>
  <c r="F91" i="36" s="1"/>
  <c r="H393" i="2" l="1"/>
  <c r="H325" i="20"/>
  <c r="F72" i="23"/>
  <c r="J16" i="39"/>
  <c r="F73" i="23"/>
  <c r="F83" i="23"/>
  <c r="L104" i="25"/>
  <c r="J401" i="20"/>
  <c r="J409" i="20" s="1"/>
  <c r="J6" i="20"/>
  <c r="J14" i="39"/>
  <c r="L73" i="25"/>
  <c r="J324" i="20" s="1"/>
  <c r="K80" i="25"/>
  <c r="I324" i="20"/>
  <c r="H96" i="23"/>
  <c r="K74" i="41"/>
  <c r="K82" i="41" s="1"/>
  <c r="K92" i="41" s="1"/>
  <c r="I94" i="23"/>
  <c r="J105" i="25"/>
  <c r="AE393" i="2"/>
  <c r="L11" i="22"/>
  <c r="H22" i="39"/>
  <c r="H27" i="39" s="1"/>
  <c r="H33" i="39" s="1"/>
  <c r="H42" i="39" s="1"/>
  <c r="H95" i="23"/>
  <c r="H94" i="23"/>
  <c r="J412" i="20" l="1"/>
  <c r="J40" i="20"/>
  <c r="J75" i="20" s="1"/>
  <c r="J73" i="20" s="1"/>
  <c r="K91" i="25"/>
  <c r="L80" i="25"/>
  <c r="L91" i="25" s="1"/>
  <c r="AF393" i="2"/>
  <c r="J393" i="2" l="1"/>
  <c r="AH393" i="2" s="1"/>
  <c r="J325" i="20"/>
  <c r="I393" i="2"/>
  <c r="I325" i="20"/>
  <c r="K105" i="25"/>
  <c r="I22" i="39"/>
  <c r="I27" i="39" s="1"/>
  <c r="I33" i="39" s="1"/>
  <c r="I42" i="39" s="1"/>
  <c r="M11" i="22"/>
  <c r="L105" i="25"/>
  <c r="J22" i="39"/>
  <c r="J27" i="39" s="1"/>
  <c r="J33" i="39" s="1"/>
  <c r="N11" i="22"/>
  <c r="AG393" i="2"/>
  <c r="J42" i="39" l="1"/>
</calcChain>
</file>

<file path=xl/comments1.xml><?xml version="1.0" encoding="utf-8"?>
<comments xmlns="http://schemas.openxmlformats.org/spreadsheetml/2006/main">
  <authors>
    <author>Adam Zink</author>
  </authors>
  <commentList>
    <comment ref="E73" authorId="0" shapeId="0">
      <text>
        <r>
          <rPr>
            <b/>
            <sz val="9"/>
            <color indexed="81"/>
            <rFont val="Tahoma"/>
            <charset val="1"/>
          </rPr>
          <t>Adam Zink:</t>
        </r>
        <r>
          <rPr>
            <sz val="9"/>
            <color indexed="81"/>
            <rFont val="Tahoma"/>
            <charset val="1"/>
          </rPr>
          <t xml:space="preserve">
FY21 Reduce Casino -29.11% COVID 19 recession then comeback to FY20 levels in FY22 and grow 2% each yr FY23-25</t>
        </r>
      </text>
    </comment>
    <comment ref="F76" authorId="0" shapeId="0">
      <text>
        <r>
          <rPr>
            <b/>
            <sz val="9"/>
            <color indexed="81"/>
            <rFont val="Tahoma"/>
            <charset val="1"/>
          </rPr>
          <t>Adam Zink:</t>
        </r>
        <r>
          <rPr>
            <sz val="9"/>
            <color indexed="81"/>
            <rFont val="Tahoma"/>
            <charset val="1"/>
          </rPr>
          <t xml:space="preserve">
Based on FY22 HB110 LSC simulation from 6/28/21 showing net direct payments for OE, CS, STEM and Schlship. SpEd 10% reduction of -$231,423.45. Not factored into simulations.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Adam Zink:</t>
        </r>
        <r>
          <rPr>
            <sz val="9"/>
            <color indexed="81"/>
            <rFont val="Tahoma"/>
            <family val="2"/>
          </rPr>
          <t xml:space="preserve">
Based on FY23 HB110 LSC simulation from 6/28/21 showing net direct payments for OE, CS, STEM and Schlship. SpEd 10% reduction of -$231,423.45. Not factored into simulations.</t>
        </r>
      </text>
    </comment>
    <comment ref="F85" authorId="0" shapeId="0">
      <text>
        <r>
          <rPr>
            <b/>
            <sz val="9"/>
            <color indexed="81"/>
            <rFont val="Tahoma"/>
            <charset val="1"/>
          </rPr>
          <t>Adam Zink:</t>
        </r>
        <r>
          <rPr>
            <sz val="9"/>
            <color indexed="81"/>
            <rFont val="Tahoma"/>
            <charset val="1"/>
          </rPr>
          <t xml:space="preserve">
Assume ED and Ctech frozen at FY21 levels FY22-25</t>
        </r>
      </text>
    </comment>
    <comment ref="F141" authorId="0" shapeId="0">
      <text>
        <r>
          <rPr>
            <b/>
            <sz val="9"/>
            <color indexed="81"/>
            <rFont val="Tahoma"/>
            <charset val="1"/>
          </rPr>
          <t>Adam Zink:</t>
        </r>
        <r>
          <rPr>
            <sz val="9"/>
            <color indexed="81"/>
            <rFont val="Tahoma"/>
            <charset val="1"/>
          </rPr>
          <t xml:space="preserve">
HB110 direct pays where student educated. No OE in FY22-FY26.</t>
        </r>
      </text>
    </comment>
    <comment ref="E181" authorId="0" shapeId="0">
      <text>
        <r>
          <rPr>
            <b/>
            <sz val="9"/>
            <color indexed="81"/>
            <rFont val="Tahoma"/>
            <family val="2"/>
          </rPr>
          <t>Adam Zink:</t>
        </r>
        <r>
          <rPr>
            <sz val="9"/>
            <color indexed="81"/>
            <rFont val="Tahoma"/>
            <family val="2"/>
          </rPr>
          <t xml:space="preserve">
FY21 auction Sold the Jesse Beer Daycare building, and contents. </t>
        </r>
      </text>
    </comment>
    <comment ref="F182" authorId="0" shapeId="0">
      <text>
        <r>
          <rPr>
            <b/>
            <sz val="9"/>
            <color indexed="81"/>
            <rFont val="Tahoma"/>
            <family val="2"/>
          </rPr>
          <t>Adam Zink:</t>
        </r>
        <r>
          <rPr>
            <sz val="9"/>
            <color indexed="81"/>
            <rFont val="Tahoma"/>
            <family val="2"/>
          </rPr>
          <t xml:space="preserve">
Catastrophic Aid anticipated to double due to increased appropriation funded by 10% SPED reduction. $54,808 in FY21</t>
        </r>
      </text>
    </comment>
    <comment ref="F195" authorId="0" shapeId="0">
      <text>
        <r>
          <rPr>
            <b/>
            <sz val="9"/>
            <color indexed="81"/>
            <rFont val="Tahoma"/>
            <charset val="1"/>
          </rPr>
          <t>Adam Zink:</t>
        </r>
        <r>
          <rPr>
            <sz val="9"/>
            <color indexed="81"/>
            <rFont val="Tahoma"/>
            <charset val="1"/>
          </rPr>
          <t xml:space="preserve">
Tie out to appropriations</t>
        </r>
      </text>
    </comment>
    <comment ref="A197" authorId="0" shapeId="0">
      <text>
        <r>
          <rPr>
            <b/>
            <sz val="8"/>
            <color indexed="81"/>
            <rFont val="Tahoma"/>
            <family val="2"/>
          </rPr>
          <t>Adam Zink:</t>
        </r>
        <r>
          <rPr>
            <sz val="8"/>
            <color indexed="81"/>
            <rFont val="Tahoma"/>
            <family val="2"/>
          </rPr>
          <t xml:space="preserve">
Obj's 139, 144, 149</t>
        </r>
      </text>
    </comment>
    <comment ref="E199" authorId="0" shapeId="0">
      <text>
        <r>
          <rPr>
            <b/>
            <sz val="9"/>
            <color indexed="81"/>
            <rFont val="Tahoma"/>
            <family val="2"/>
          </rPr>
          <t>Adam Zink:</t>
        </r>
        <r>
          <rPr>
            <sz val="9"/>
            <color indexed="81"/>
            <rFont val="Tahoma"/>
            <family val="2"/>
          </rPr>
          <t xml:space="preserve">
FY20 spring supplemental was paid at 50% or $22,455 short. Put that back in to get the true "base" cost which was increased by 3%. A grievance caused this amount to be paid in FY21-increased by $22,455. I removed this amount in FY22 before % increase to reset the base.</t>
        </r>
      </text>
    </comment>
    <comment ref="E200" authorId="0" shapeId="0">
      <text>
        <r>
          <rPr>
            <b/>
            <sz val="9"/>
            <color indexed="81"/>
            <rFont val="Tahoma"/>
            <family val="2"/>
          </rPr>
          <t>Adam Zink:</t>
        </r>
        <r>
          <rPr>
            <sz val="9"/>
            <color indexed="81"/>
            <rFont val="Tahoma"/>
            <family val="2"/>
          </rPr>
          <t xml:space="preserve">
1.5 additional Staff in FY21. 
HS Intervention Specialist and PE from .5 FTE to 1 FTE = $61,915.82.
Calc FY21=10 months of contract, FY22 = 2 months of contract. Then they are in the base. </t>
        </r>
      </text>
    </comment>
    <comment ref="F200" authorId="0" shapeId="0">
      <text>
        <r>
          <rPr>
            <b/>
            <sz val="9"/>
            <color indexed="81"/>
            <rFont val="Tahoma"/>
            <family val="2"/>
          </rPr>
          <t>Adam Zink:</t>
        </r>
        <r>
          <rPr>
            <sz val="9"/>
            <color indexed="81"/>
            <rFont val="Tahoma"/>
            <family val="2"/>
          </rPr>
          <t xml:space="preserve">
Teacher LOA in FY21 for ($49,000) back on in FY22 +$49,000
RIF'd 11 positions, and bringing back 4 positions. 2 art, 2 career tech. 
SWSF: Brought back due to HB110. 
Guidance - $127,790 salary</t>
        </r>
      </text>
    </comment>
    <comment ref="G200" authorId="0" shapeId="0">
      <text>
        <r>
          <rPr>
            <b/>
            <sz val="9"/>
            <color indexed="81"/>
            <rFont val="Tahoma"/>
            <family val="2"/>
          </rPr>
          <t>Adam Zink:</t>
        </r>
        <r>
          <rPr>
            <sz val="9"/>
            <color indexed="81"/>
            <rFont val="Tahoma"/>
            <family val="2"/>
          </rPr>
          <t xml:space="preserve">
SWSF: staying out through FY25. 
Guidance - $127,790 salary / $70,797 benefits (below)
</t>
        </r>
      </text>
    </comment>
    <comment ref="E204" authorId="0" shapeId="0">
      <text>
        <r>
          <rPr>
            <b/>
            <sz val="9"/>
            <color indexed="81"/>
            <rFont val="Tahoma"/>
            <family val="2"/>
          </rPr>
          <t xml:space="preserve">Adam Zink:
</t>
        </r>
        <r>
          <rPr>
            <sz val="9"/>
            <color indexed="81"/>
            <rFont val="Tahoma"/>
            <family val="2"/>
          </rPr>
          <t>FY21 - Estimated Staff %
Certified 3% - 74%
Classified/Admin 2% - 26%</t>
        </r>
      </text>
    </comment>
    <comment ref="F204" authorId="0" shapeId="0">
      <text>
        <r>
          <rPr>
            <b/>
            <sz val="9"/>
            <color indexed="81"/>
            <rFont val="Tahoma"/>
            <family val="2"/>
          </rPr>
          <t xml:space="preserve">Adam Zink:
</t>
        </r>
        <r>
          <rPr>
            <sz val="9"/>
            <color indexed="81"/>
            <rFont val="Tahoma"/>
            <family val="2"/>
          </rPr>
          <t>Spring 2021 Negotiations for FY22</t>
        </r>
      </text>
    </comment>
    <comment ref="E224" authorId="0" shapeId="0">
      <text>
        <r>
          <rPr>
            <b/>
            <sz val="9"/>
            <color indexed="81"/>
            <rFont val="Tahoma"/>
            <family val="2"/>
          </rPr>
          <t>Adam Zink:</t>
        </r>
        <r>
          <rPr>
            <sz val="9"/>
            <color indexed="81"/>
            <rFont val="Tahoma"/>
            <family val="2"/>
          </rPr>
          <t xml:space="preserve">
New Employee: STRS</t>
        </r>
      </text>
    </comment>
    <comment ref="F241" authorId="0" shapeId="0">
      <text>
        <r>
          <rPr>
            <b/>
            <sz val="9"/>
            <color indexed="81"/>
            <rFont val="Tahoma"/>
            <family val="2"/>
          </rPr>
          <t>Adam Zink:</t>
        </r>
        <r>
          <rPr>
            <sz val="9"/>
            <color indexed="81"/>
            <rFont val="Tahoma"/>
            <family val="2"/>
          </rPr>
          <t xml:space="preserve">
Premium holidays are added back in to show the true base. </t>
        </r>
      </text>
    </comment>
    <comment ref="F242" authorId="0" shapeId="0">
      <text>
        <r>
          <rPr>
            <b/>
            <sz val="9"/>
            <color indexed="81"/>
            <rFont val="Tahoma"/>
            <charset val="1"/>
          </rPr>
          <t>Adam Zink:</t>
        </r>
        <r>
          <rPr>
            <sz val="9"/>
            <color indexed="81"/>
            <rFont val="Tahoma"/>
            <charset val="1"/>
          </rPr>
          <t xml:space="preserve">
used to tie out to appropriations</t>
        </r>
      </text>
    </comment>
    <comment ref="E243" authorId="0" shapeId="0">
      <text>
        <r>
          <rPr>
            <b/>
            <sz val="9"/>
            <color indexed="81"/>
            <rFont val="Tahoma"/>
            <family val="2"/>
          </rPr>
          <t>Adam Zink:</t>
        </r>
        <r>
          <rPr>
            <sz val="9"/>
            <color indexed="81"/>
            <rFont val="Tahoma"/>
            <family val="2"/>
          </rPr>
          <t xml:space="preserve">
2 month premium holiday. By stopping the premium holiday we'll watch for a decrease in future years premium increase. </t>
        </r>
      </text>
    </comment>
    <comment ref="E244" authorId="0" shapeId="0">
      <text>
        <r>
          <rPr>
            <b/>
            <sz val="9"/>
            <color indexed="81"/>
            <rFont val="Tahoma"/>
            <family val="2"/>
          </rPr>
          <t>Adam Zink:</t>
        </r>
        <r>
          <rPr>
            <sz val="9"/>
            <color indexed="81"/>
            <rFont val="Tahoma"/>
            <family val="2"/>
          </rPr>
          <t xml:space="preserve">
Leave of Absence - Reduced 1 family plan in FY21. Assuming $18,000 - Coming back on in FY22-10 months and FY23 2 months
1.5 FTE added 2 single plans - Assuming $6,000 each with 10 months in FY21 and 2 months in FY22</t>
        </r>
      </text>
    </comment>
    <comment ref="E246" authorId="0" shapeId="0">
      <text>
        <r>
          <rPr>
            <b/>
            <sz val="9"/>
            <color indexed="81"/>
            <rFont val="Tahoma"/>
            <family val="2"/>
          </rPr>
          <t>Adam Zink:</t>
        </r>
        <r>
          <rPr>
            <sz val="9"/>
            <color indexed="81"/>
            <rFont val="Tahoma"/>
            <family val="2"/>
          </rPr>
          <t xml:space="preserve">
1.5 FTE add Insurance Cost?</t>
        </r>
      </text>
    </comment>
    <comment ref="F246" authorId="0" shapeId="0">
      <text>
        <r>
          <rPr>
            <b/>
            <sz val="9"/>
            <color indexed="81"/>
            <rFont val="Tahoma"/>
            <charset val="1"/>
          </rPr>
          <t>Adam Zink:</t>
        </r>
        <r>
          <rPr>
            <sz val="9"/>
            <color indexed="81"/>
            <rFont val="Tahoma"/>
            <charset val="1"/>
          </rPr>
          <t xml:space="preserve">
Insurance portion of SWSF brought back due to HB110. $94,588</t>
        </r>
      </text>
    </comment>
    <comment ref="F285" authorId="0" shapeId="0">
      <text>
        <r>
          <rPr>
            <b/>
            <sz val="9"/>
            <color indexed="81"/>
            <rFont val="Tahoma"/>
            <charset val="1"/>
          </rPr>
          <t>Adam Zink:</t>
        </r>
        <r>
          <rPr>
            <sz val="9"/>
            <color indexed="81"/>
            <rFont val="Tahoma"/>
            <charset val="1"/>
          </rPr>
          <t xml:space="preserve">
HB110 direct pays OE in FY22-FY26 no longer deducted from foundation $2,030,774.51. Deleted Comm. School $1,711,200.25 , STEM $0 , and Scholarship $528,833.03 which is direct paid per HB110 FY22-FY26.</t>
        </r>
      </text>
    </comment>
    <comment ref="E287" authorId="0" shapeId="0">
      <text>
        <r>
          <rPr>
            <b/>
            <sz val="9"/>
            <color indexed="81"/>
            <rFont val="Tahoma"/>
            <family val="2"/>
          </rPr>
          <t>Adam Zink:</t>
        </r>
        <r>
          <rPr>
            <sz val="9"/>
            <color indexed="81"/>
            <rFont val="Tahoma"/>
            <family val="2"/>
          </rPr>
          <t xml:space="preserve">
ESC increase from Prior Year. Lost grant money for Curric and Gifted/Grant Director. Added 2 speech</t>
        </r>
      </text>
    </comment>
    <comment ref="F287" authorId="0" shapeId="0">
      <text>
        <r>
          <rPr>
            <b/>
            <sz val="9"/>
            <color indexed="81"/>
            <rFont val="Tahoma"/>
            <charset val="1"/>
          </rPr>
          <t>Adam Zink:</t>
        </r>
        <r>
          <rPr>
            <sz val="9"/>
            <color indexed="81"/>
            <rFont val="Tahoma"/>
            <charset val="1"/>
          </rPr>
          <t xml:space="preserve">
Brought the SWSF expenses back into the forecast due to HB110 making this Basic Aid.
SWSF: Staying out through FY25. 
SRO - $54,222.94
Nursing Services - $119,479.50
Preschool Admin Assist - $36,050
Speech $92,200
Total - 301,953
$287,220 to tie out to appropriations</t>
        </r>
      </text>
    </comment>
    <comment ref="F304" authorId="0" shapeId="0">
      <text>
        <r>
          <rPr>
            <b/>
            <sz val="9"/>
            <color indexed="81"/>
            <rFont val="Tahoma"/>
            <charset val="1"/>
          </rPr>
          <t>Adam Zink:</t>
        </r>
        <r>
          <rPr>
            <sz val="9"/>
            <color indexed="81"/>
            <rFont val="Tahoma"/>
            <charset val="1"/>
          </rPr>
          <t xml:space="preserve">
SWSF: brought back due to HB110. 
PBIS supplies - $5,000
$185,428 to tie out to appripriations</t>
        </r>
      </text>
    </comment>
    <comment ref="E305" authorId="0" shapeId="0">
      <text>
        <r>
          <rPr>
            <b/>
            <sz val="9"/>
            <color indexed="81"/>
            <rFont val="Tahoma"/>
            <family val="2"/>
          </rPr>
          <t>Adam Zink:</t>
        </r>
        <r>
          <rPr>
            <sz val="9"/>
            <color indexed="81"/>
            <rFont val="Tahoma"/>
            <family val="2"/>
          </rPr>
          <t xml:space="preserve">
HS Roof and Day Care facility supplies $68,000 (reduced in FY22)
+60k approp tie aut and 62k above</t>
        </r>
      </text>
    </comment>
    <comment ref="E314" authorId="0" shapeId="0">
      <text>
        <r>
          <rPr>
            <b/>
            <sz val="9"/>
            <color indexed="81"/>
            <rFont val="Tahoma"/>
            <family val="2"/>
          </rPr>
          <t>Adam Zink:</t>
        </r>
        <r>
          <rPr>
            <sz val="9"/>
            <color indexed="81"/>
            <rFont val="Tahoma"/>
            <family val="2"/>
          </rPr>
          <t xml:space="preserve">
approp tie out ($113,743)</t>
        </r>
      </text>
    </comment>
    <comment ref="E315" authorId="0" shapeId="0">
      <text>
        <r>
          <rPr>
            <b/>
            <sz val="9"/>
            <color indexed="81"/>
            <rFont val="Tahoma"/>
            <family val="2"/>
          </rPr>
          <t>Adam Zink:</t>
        </r>
        <r>
          <rPr>
            <sz val="9"/>
            <color indexed="81"/>
            <rFont val="Tahoma"/>
            <family val="2"/>
          </rPr>
          <t xml:space="preserve">
$57,795 subsidy for bus purchase in FY21. 2 buses per year purchased. 
ESSER Purchase. Back in FY23 at this time.</t>
        </r>
      </text>
    </comment>
    <comment ref="E317" authorId="0" shapeId="0">
      <text>
        <r>
          <rPr>
            <b/>
            <sz val="9"/>
            <color indexed="81"/>
            <rFont val="Tahoma"/>
            <family val="2"/>
          </rPr>
          <t>Adam Zink:</t>
        </r>
        <r>
          <rPr>
            <sz val="9"/>
            <color indexed="81"/>
            <rFont val="Tahoma"/>
            <family val="2"/>
          </rPr>
          <t xml:space="preserve">
CARES funds $100,000 on Tech equipment. Back on in FY22. With additional ESSER funds, do you want to remove some of FY22-25?</t>
        </r>
      </text>
    </comment>
    <comment ref="F317" authorId="0" shapeId="0">
      <text>
        <r>
          <rPr>
            <b/>
            <sz val="9"/>
            <color indexed="81"/>
            <rFont val="Tahoma"/>
            <charset val="1"/>
          </rPr>
          <t>Adam Zink:</t>
        </r>
        <r>
          <rPr>
            <sz val="9"/>
            <color indexed="81"/>
            <rFont val="Tahoma"/>
            <charset val="1"/>
          </rPr>
          <t xml:space="preserve">
$115,839 to tie out to appripriations</t>
        </r>
      </text>
    </comment>
    <comment ref="G351" authorId="0" shapeId="0">
      <text>
        <r>
          <rPr>
            <b/>
            <sz val="9"/>
            <color indexed="81"/>
            <rFont val="Tahoma"/>
            <family val="2"/>
          </rPr>
          <t>Adam Zink:</t>
        </r>
        <r>
          <rPr>
            <sz val="9"/>
            <color indexed="81"/>
            <rFont val="Tahoma"/>
            <family val="2"/>
          </rPr>
          <t xml:space="preserve">
Possible new levy would increase this. Once we know a projection, we will add here to stay dialed in. </t>
        </r>
      </text>
    </comment>
    <comment ref="E353" authorId="0" shapeId="0">
      <text>
        <r>
          <rPr>
            <b/>
            <sz val="9"/>
            <color indexed="81"/>
            <rFont val="Tahoma"/>
            <family val="2"/>
          </rPr>
          <t>Adam Zink:</t>
        </r>
        <r>
          <rPr>
            <sz val="9"/>
            <color indexed="81"/>
            <rFont val="Tahoma"/>
            <family val="2"/>
          </rPr>
          <t xml:space="preserve">
approp tie out ($14,732)</t>
        </r>
      </text>
    </comment>
    <comment ref="F353" authorId="0" shapeId="0">
      <text>
        <r>
          <rPr>
            <b/>
            <sz val="9"/>
            <color indexed="81"/>
            <rFont val="Tahoma"/>
            <charset val="1"/>
          </rPr>
          <t>Adam Zink:</t>
        </r>
        <r>
          <rPr>
            <sz val="9"/>
            <color indexed="81"/>
            <rFont val="Tahoma"/>
            <charset val="1"/>
          </rPr>
          <t xml:space="preserve">
$43,275 to tie out to appripriations</t>
        </r>
      </text>
    </comment>
    <comment ref="E363" authorId="0" shapeId="0">
      <text>
        <r>
          <rPr>
            <b/>
            <sz val="9"/>
            <color indexed="81"/>
            <rFont val="Tahoma"/>
            <family val="2"/>
          </rPr>
          <t>Adam Zink:</t>
        </r>
        <r>
          <rPr>
            <sz val="9"/>
            <color indexed="81"/>
            <rFont val="Tahoma"/>
            <family val="2"/>
          </rPr>
          <t xml:space="preserve">
25,000 adult ed
10,000 turf replacement fund</t>
        </r>
      </text>
    </comment>
    <comment ref="F364" authorId="0" shapeId="0">
      <text>
        <r>
          <rPr>
            <b/>
            <sz val="9"/>
            <color indexed="81"/>
            <rFont val="Tahoma"/>
            <charset val="1"/>
          </rPr>
          <t>Adam Zink:</t>
        </r>
        <r>
          <rPr>
            <sz val="9"/>
            <color indexed="81"/>
            <rFont val="Tahoma"/>
            <charset val="1"/>
          </rPr>
          <t xml:space="preserve">
removed advances from prior year amount to align with appropriations</t>
        </r>
      </text>
    </comment>
  </commentList>
</comments>
</file>

<file path=xl/comments2.xml><?xml version="1.0" encoding="utf-8"?>
<comments xmlns="http://schemas.openxmlformats.org/spreadsheetml/2006/main">
  <authors>
    <author>Christoper Mohr</author>
    <author>Rebecca Jenkins</author>
    <author>Adam Zink</author>
  </authors>
  <commentList>
    <comment ref="O85" authorId="0" shapeId="0">
      <text>
        <r>
          <rPr>
            <b/>
            <sz val="8"/>
            <color indexed="81"/>
            <rFont val="Tahoma"/>
            <family val="2"/>
          </rPr>
          <t>Christoper Mohr:</t>
        </r>
        <r>
          <rPr>
            <sz val="8"/>
            <color indexed="81"/>
            <rFont val="Tahoma"/>
            <family val="2"/>
          </rPr>
          <t xml:space="preserve">
Make FY20-22 equal K-12 SSI est.</t>
        </r>
      </text>
    </comment>
    <comment ref="M127" authorId="0" shapeId="0">
      <text>
        <r>
          <rPr>
            <b/>
            <sz val="8"/>
            <color indexed="81"/>
            <rFont val="Tahoma"/>
            <family val="2"/>
          </rPr>
          <t>Cut per HB49 to 37.5% FY18 then to 25% in Fy19</t>
        </r>
      </text>
    </comment>
    <comment ref="M145" authorId="1" shapeId="0">
      <text>
        <r>
          <rPr>
            <b/>
            <sz val="8"/>
            <color indexed="81"/>
            <rFont val="Tahoma"/>
            <family val="2"/>
          </rPr>
          <t>Cut per HB49 to 37.5% FY18 then to 25% in Fy19</t>
        </r>
      </text>
    </comment>
    <comment ref="L153" authorId="1" shapeId="0">
      <text>
        <r>
          <rPr>
            <b/>
            <sz val="8"/>
            <color indexed="81"/>
            <rFont val="Tahoma"/>
            <family val="2"/>
          </rPr>
          <t>HB49 no distrcit gets less in FY18 &amp; 19 than they got in Fy17 unless ADM drops 5% or more.  NCSD ADM dropped -2.7% from FY14-16.</t>
        </r>
      </text>
    </comment>
    <comment ref="M153" authorId="1" shapeId="0">
      <text>
        <r>
          <rPr>
            <b/>
            <sz val="8"/>
            <color indexed="81"/>
            <rFont val="Tahoma"/>
            <family val="2"/>
          </rPr>
          <t>HB49 no distrcit gets less in FY18 &amp; 19 than they got in Fy17 unless ADM drops 5% or more.  NCSD ADM dropped -2.7% from FY14-16.</t>
        </r>
      </text>
    </comment>
    <comment ref="M156" authorId="0" shapeId="0">
      <text>
        <r>
          <rPr>
            <b/>
            <sz val="8"/>
            <color indexed="81"/>
            <rFont val="Tahoma"/>
            <family val="2"/>
          </rPr>
          <t>FY18 =FY17 funding less Ctech, +3% amount + Ctech it is outside cap as is 3rd grade and HS bonus   per HB49</t>
        </r>
      </text>
    </comment>
    <comment ref="O157" authorId="2" shapeId="0">
      <text>
        <r>
          <rPr>
            <b/>
            <sz val="9"/>
            <color indexed="81"/>
            <rFont val="Tahoma"/>
            <charset val="1"/>
          </rPr>
          <t>Adam Zink:</t>
        </r>
        <r>
          <rPr>
            <sz val="9"/>
            <color indexed="81"/>
            <rFont val="Tahoma"/>
            <charset val="1"/>
          </rPr>
          <t xml:space="preserve">
May 6, 2020 State Budget Cut From FY19 levels.</t>
        </r>
      </text>
    </comment>
    <comment ref="P157" authorId="2" shapeId="0">
      <text>
        <r>
          <rPr>
            <b/>
            <sz val="9"/>
            <color indexed="81"/>
            <rFont val="Tahoma"/>
            <charset val="1"/>
          </rPr>
          <t>Adam Zink:</t>
        </r>
        <r>
          <rPr>
            <sz val="9"/>
            <color indexed="81"/>
            <rFont val="Tahoma"/>
            <charset val="1"/>
          </rPr>
          <t xml:space="preserve">
FY21  state aid at Gov Exec Order 1.22.21 to restore portion of cut funds</t>
        </r>
      </text>
    </comment>
    <comment ref="Q157" authorId="2" shapeId="0">
      <text>
        <r>
          <rPr>
            <b/>
            <sz val="9"/>
            <color indexed="81"/>
            <rFont val="Tahoma"/>
            <charset val="1"/>
          </rPr>
          <t>Adam Zink:</t>
        </r>
        <r>
          <rPr>
            <sz val="9"/>
            <color indexed="81"/>
            <rFont val="Tahoma"/>
            <charset val="1"/>
          </rPr>
          <t xml:space="preserve">
We believe FY22 will be funded back to FY19 before PY adjustment levels for FY22-25</t>
        </r>
      </text>
    </comment>
  </commentList>
</comments>
</file>

<file path=xl/sharedStrings.xml><?xml version="1.0" encoding="utf-8"?>
<sst xmlns="http://schemas.openxmlformats.org/spreadsheetml/2006/main" count="1970" uniqueCount="1080">
  <si>
    <t>Area below this is hidden and is a series of levy and SDIT modeling tools.</t>
  </si>
  <si>
    <t>should a need arise to model a SDIT.</t>
  </si>
  <si>
    <t>Option 6 Earned Income 2% SDIT Used</t>
  </si>
  <si>
    <t>Option 3 Traditional 1.75% SDIT Used</t>
  </si>
  <si>
    <t>Real Estate Taxes</t>
  </si>
  <si>
    <t>State Foundation</t>
  </si>
  <si>
    <t>Other State</t>
  </si>
  <si>
    <t>There is no planned short term borrowings at this time.</t>
  </si>
  <si>
    <t>Classification</t>
  </si>
  <si>
    <t>Res./Ag.</t>
  </si>
  <si>
    <t>Expenditures</t>
  </si>
  <si>
    <t>TPP Reimbursement - Fixed Rate</t>
  </si>
  <si>
    <t xml:space="preserve">  make cuts of $500,000; beginning 2010 remove the 3.55; 7.9 and 3.1 </t>
  </si>
  <si>
    <t xml:space="preserve">  mill emergency levies.  Reduces annual property tax bill by $446 per/</t>
  </si>
  <si>
    <t>FY14</t>
  </si>
  <si>
    <t>FY15</t>
  </si>
  <si>
    <t>FY16</t>
  </si>
  <si>
    <t xml:space="preserve">  make $400,000 cuts; beginning 2010 remove the 3.55; 7.9 and 3.1 </t>
  </si>
  <si>
    <r>
      <t>Cuts</t>
    </r>
    <r>
      <rPr>
        <sz val="10"/>
        <rFont val="Times"/>
        <family val="1"/>
      </rPr>
      <t xml:space="preserve"> of $400,000….for 2 years to repay SDIT borrowing then lift</t>
    </r>
  </si>
  <si>
    <t>Ending Cash Balances</t>
  </si>
  <si>
    <t>Cuts needed</t>
  </si>
  <si>
    <t>Wages</t>
  </si>
  <si>
    <t>FY09</t>
  </si>
  <si>
    <t>General Fund Revenue By Source - Revenue Receipts Only Excludes Other Financing Sources</t>
  </si>
  <si>
    <t>General Fund Expenditures By Source - Operating Expenses Only Excludes Other Financing Uses</t>
  </si>
  <si>
    <t>Benefits</t>
  </si>
  <si>
    <t xml:space="preserve">  Pass 2.25% Traditional SDIT 2009…borrow 46% (est. $1,675,000 FY10) </t>
  </si>
  <si>
    <t>SDIT Cost Based on Traditional and Earned</t>
  </si>
  <si>
    <t>Average Income OAGI</t>
  </si>
  <si>
    <t>2% SDIT</t>
  </si>
  <si>
    <t>Median (most frequently occuring)</t>
  </si>
  <si>
    <t>Current Emergency Levies (only)</t>
  </si>
  <si>
    <t>Option 2 Traditional 1.5% SDIT Used</t>
  </si>
  <si>
    <t xml:space="preserve">  make cuts of $800,000; beginning 2010 remove the 3.55; 7.9 and 3.1 </t>
  </si>
  <si>
    <r>
      <t>Cuts</t>
    </r>
    <r>
      <rPr>
        <sz val="10"/>
        <rFont val="Times"/>
        <family val="1"/>
      </rPr>
      <t xml:space="preserve"> of $800,000….must hold cuts to repay SDIT borrowing</t>
    </r>
  </si>
  <si>
    <t xml:space="preserve">  make cuts of $1,000,000; beginning 2010 remove the 3.55; 7.9 and 3.1 </t>
  </si>
  <si>
    <t>current levels.  Currently, we are estimating annual increase of 3% for this forecast.</t>
  </si>
  <si>
    <t xml:space="preserve">Interest </t>
  </si>
  <si>
    <t>FY17</t>
  </si>
  <si>
    <t>Enter School District Name</t>
  </si>
  <si>
    <t>Enter County</t>
  </si>
  <si>
    <t>Enter the Fiscal Year</t>
  </si>
  <si>
    <t>IRN #</t>
  </si>
  <si>
    <t xml:space="preserve">  Pass 1.75% Traditional SDIT 2009…borrow 50% (est. $1,220,000 FY10) </t>
  </si>
  <si>
    <t>Res/Ag</t>
  </si>
  <si>
    <t>Capital Outlay</t>
  </si>
  <si>
    <t>SHORT TERM BORROWING</t>
  </si>
  <si>
    <t>Services</t>
  </si>
  <si>
    <t>Capital</t>
  </si>
  <si>
    <t>Other Expenses</t>
  </si>
  <si>
    <t>Material</t>
  </si>
  <si>
    <t>total</t>
  </si>
  <si>
    <t>Base Wages</t>
  </si>
  <si>
    <t>Current levies including 13.95 mill emergency levy</t>
  </si>
  <si>
    <t>mills</t>
  </si>
  <si>
    <t>Current Emergency Levies Plus New 13.95</t>
  </si>
  <si>
    <t>Total Line # 11.020</t>
  </si>
  <si>
    <t>PUPP</t>
  </si>
  <si>
    <t>C) WORKERS COMPENSATION/UNEMPLOYMENT</t>
  </si>
  <si>
    <t>D) MEDICARE</t>
  </si>
  <si>
    <t>30 Day Cash Ratio</t>
  </si>
  <si>
    <t>Source and Type of New Revenue</t>
  </si>
  <si>
    <t>Source and Type of New Revenue - Current Operating Plan</t>
  </si>
  <si>
    <t>SDIT Est.</t>
  </si>
  <si>
    <t xml:space="preserve">Annual  </t>
  </si>
  <si>
    <t>Cost P/$100K</t>
  </si>
  <si>
    <t>Modeling Levy Type and Reductions:</t>
  </si>
  <si>
    <t>Revenue and/or cuts needed</t>
  </si>
  <si>
    <t>Planning Period</t>
  </si>
  <si>
    <t>***********</t>
  </si>
  <si>
    <t>Option 1 Emergency levy Strategy Historically Used</t>
  </si>
  <si>
    <t>Strategic Plan</t>
  </si>
  <si>
    <t xml:space="preserve">  Pass 2% Traditional SDIT 2009…borrow 50% (est. $1,625,000 FY10) </t>
  </si>
  <si>
    <t xml:space="preserve">  Pass 2% Earned Inc SDIT 2009…borrow 50% (est. $1,092,000 FY10) </t>
  </si>
  <si>
    <t>SCHEDULE OF REVENUE, EXPENDITURES, AND CHANGES</t>
  </si>
  <si>
    <t>IN FUND BALANCES FOR THE FISCAL YEARS ENDED</t>
  </si>
  <si>
    <t>Treasurer Name, Title</t>
  </si>
  <si>
    <t xml:space="preserve">  Pass 1.5% Traditional SDIT 2009…borrow 50% (est. $1,420,000 FY10) </t>
  </si>
  <si>
    <t>Year</t>
  </si>
  <si>
    <t>CURRENT COSTS FOR TAXPAYERS IN PROPERTY TAXES Vs. An INCOME TAX</t>
  </si>
  <si>
    <t>Current Levies including renewals</t>
  </si>
  <si>
    <t>Public Utility Personal Property (PUPP)</t>
  </si>
  <si>
    <t>Energy conservation project debt service with a final maturity in school year 2020.</t>
  </si>
  <si>
    <t>Total Line 3.050</t>
  </si>
  <si>
    <t>B) RESTRICTED STATE REVENUES - Line #1.040</t>
  </si>
  <si>
    <t>Tax Anticipation Notes (TANS) Line 2.010</t>
  </si>
  <si>
    <t>Total Wages Line 3.010</t>
  </si>
  <si>
    <t>Schedule of Revenues, Expenditures and Changes in Fund Balances</t>
  </si>
  <si>
    <t>Forecasted</t>
  </si>
  <si>
    <t xml:space="preserve">Fiscal Year </t>
  </si>
  <si>
    <t>Fiscal Year</t>
  </si>
  <si>
    <t>Average</t>
  </si>
  <si>
    <t>Change</t>
  </si>
  <si>
    <t>Revenues</t>
  </si>
  <si>
    <t>General Property Tax (Real Estate)</t>
  </si>
  <si>
    <t>Income Tax</t>
  </si>
  <si>
    <t>Unrestricted State Grants-in-Aid</t>
  </si>
  <si>
    <t>Restricted State Grants-in-Aid</t>
  </si>
  <si>
    <t>Property Tax Allocation</t>
  </si>
  <si>
    <t>All Other Revenues</t>
  </si>
  <si>
    <t>Total Revenues</t>
  </si>
  <si>
    <t>Property Tax Levy Rates  (1)</t>
  </si>
  <si>
    <t>First</t>
  </si>
  <si>
    <t>Last</t>
  </si>
  <si>
    <t>Inside Millage</t>
  </si>
  <si>
    <t>n/a</t>
  </si>
  <si>
    <t>Current Expense 1976</t>
  </si>
  <si>
    <t>General Fund Levies (Effective Tax Rates - Res/Ag)</t>
  </si>
  <si>
    <t xml:space="preserve">  Changes in Exempt Property</t>
  </si>
  <si>
    <t xml:space="preserve">  Miscellaneous</t>
  </si>
  <si>
    <t xml:space="preserve">  Reappraisal/Updates</t>
  </si>
  <si>
    <t xml:space="preserve">  Telephone/Railroad Phase out</t>
  </si>
  <si>
    <t xml:space="preserve">  10% Rollback</t>
  </si>
  <si>
    <t>Total State Property Tax Credits</t>
  </si>
  <si>
    <t>Average Percentage of Revenue in February Settlement</t>
  </si>
  <si>
    <t>Average Percentage of Revenue in August Settlement</t>
  </si>
  <si>
    <t>Fiscal Year Estimated Tax Revenues</t>
  </si>
  <si>
    <t xml:space="preserve">  August Settlement</t>
  </si>
  <si>
    <t xml:space="preserve">  February Settlement</t>
  </si>
  <si>
    <t>Other Financing Sources</t>
  </si>
  <si>
    <t>Proceeds from Sale of Notes</t>
  </si>
  <si>
    <t>State Emergency Loans and Advancements (Approved)</t>
  </si>
  <si>
    <t>Operating Transfers-In</t>
  </si>
  <si>
    <t>Advances-In</t>
  </si>
  <si>
    <t>All Other Financing Sources</t>
  </si>
  <si>
    <t>Total Revenues and Other Financing Sources</t>
  </si>
  <si>
    <t>Personal Services</t>
  </si>
  <si>
    <t>Employees' Retirement/Insurance Benefits</t>
  </si>
  <si>
    <t>Supplies and Materials</t>
  </si>
  <si>
    <t xml:space="preserve">  Principal-All (Historical Only)</t>
  </si>
  <si>
    <t xml:space="preserve">  Principal-Notes</t>
  </si>
  <si>
    <t xml:space="preserve">  Principal-State Loans</t>
  </si>
  <si>
    <t xml:space="preserve">  Principal-State Advancements</t>
  </si>
  <si>
    <t xml:space="preserve">  Principal-HB 264 Loans</t>
  </si>
  <si>
    <t xml:space="preserve">  Principal-Other</t>
  </si>
  <si>
    <t xml:space="preserve">  Interest and Fiscal Charges</t>
  </si>
  <si>
    <t>Other Objects</t>
  </si>
  <si>
    <t>Total Expenditures</t>
  </si>
  <si>
    <t>Other Financing Uses</t>
  </si>
  <si>
    <t>Operating Transfers-Out</t>
  </si>
  <si>
    <t>Advances-Out</t>
  </si>
  <si>
    <t>Excess of Revenues and Other Financing Sources over (under) Expenditures and Other Financing Uses</t>
  </si>
  <si>
    <t>Cash Balance July 1 - Excluding Proposed Renewal/Replacement and New Levies</t>
  </si>
  <si>
    <t>Cash Balance June 30</t>
  </si>
  <si>
    <t>Estimated Encumbrances June 30</t>
  </si>
  <si>
    <t xml:space="preserve">Reservation of Fund Balance  </t>
  </si>
  <si>
    <t xml:space="preserve">     Textbooks and Instructional Materials</t>
  </si>
  <si>
    <t xml:space="preserve">     Capital Improvements</t>
  </si>
  <si>
    <t xml:space="preserve">     Budget Reserve</t>
  </si>
  <si>
    <t xml:space="preserve">     DPIA</t>
  </si>
  <si>
    <t xml:space="preserve">     Fiscal Stabilization</t>
  </si>
  <si>
    <t xml:space="preserve">     Debt Service</t>
  </si>
  <si>
    <t xml:space="preserve">     Property Tax Advances</t>
  </si>
  <si>
    <t xml:space="preserve">     Bus Purchases</t>
  </si>
  <si>
    <t xml:space="preserve">  Subtotal</t>
  </si>
  <si>
    <t>Fund Balance June 30 for Certification of Appropriations</t>
  </si>
  <si>
    <t>Revenue from Replacement/Renewal Levies</t>
  </si>
  <si>
    <t xml:space="preserve">  Income Tax  -  Renewal</t>
  </si>
  <si>
    <t xml:space="preserve">  Property Tax - Renewal or Replacement</t>
  </si>
  <si>
    <t>Cumulative Balance of Replacement/Renewal Levies</t>
  </si>
  <si>
    <t xml:space="preserve"> Fund Balance June 30 for Certification of Contracts, Salary Schedules and Other Obligations</t>
  </si>
  <si>
    <t>Revenue from New Levies</t>
  </si>
  <si>
    <t xml:space="preserve">  Income Tax  -  New</t>
  </si>
  <si>
    <t xml:space="preserve">  Property Tax  -  New</t>
  </si>
  <si>
    <t>Cumulative Balance of New Levies</t>
  </si>
  <si>
    <t>Revenue from Future State Advancements</t>
  </si>
  <si>
    <t>Unreserved Fund Balance June 30</t>
  </si>
  <si>
    <t xml:space="preserve">FORECASTED FISCAL YEARS ENDING </t>
  </si>
  <si>
    <t>B) INSURANCES</t>
  </si>
  <si>
    <t>Renew 4.8 mill levy at 4.65 mills 2010</t>
  </si>
  <si>
    <t>Renew 4.6 mill levy at 4.60 mills 2012</t>
  </si>
  <si>
    <t>On the ballot essentially every two years</t>
  </si>
  <si>
    <t>Assessed Value</t>
  </si>
  <si>
    <t>Five year Forecast Operating Deficit With Levy Models</t>
  </si>
  <si>
    <t>Cummulative Levy Effect</t>
  </si>
  <si>
    <t>Revenue Provided Should Both Emergency  levies Pass</t>
  </si>
  <si>
    <t>Ending Bal.</t>
  </si>
  <si>
    <t>Total Rollback &amp; Homestead</t>
  </si>
  <si>
    <t>Total TPP Fixed Rate</t>
  </si>
  <si>
    <t>Total Unrestricted State Aid Line # 1.035</t>
  </si>
  <si>
    <t>Total Restricted State Revenues  Line #1.040</t>
  </si>
  <si>
    <t>SUMMARY OF STATE FOUNDATION REVENUES</t>
  </si>
  <si>
    <t xml:space="preserve">Total State Foundation Revenue </t>
  </si>
  <si>
    <t>Unrestricted Line # 1.035</t>
  </si>
  <si>
    <t>Restricted Line # 1.040</t>
  </si>
  <si>
    <t xml:space="preserve">ESTIMATED ASSESSED VALUE (AV) BY COLLECTION YEARS </t>
  </si>
  <si>
    <t>Instructions and Note Calculation Sheet</t>
  </si>
  <si>
    <t>INTRODUCTION</t>
  </si>
  <si>
    <t>These are the instructions for you to update you five year forecast. Use this tab a research and documentation, these</t>
  </si>
  <si>
    <t>Estimated</t>
  </si>
  <si>
    <t>End</t>
  </si>
  <si>
    <t>Treasurer's Office</t>
  </si>
  <si>
    <t xml:space="preserve"> Forecast Provided By </t>
  </si>
  <si>
    <t>Amounts noted for staff reductions are for staff reductions and wages differences between retirees and lower paid new staff.</t>
  </si>
  <si>
    <t>Total Retirement System Estimates</t>
  </si>
  <si>
    <t>Total Insurance Estimates</t>
  </si>
  <si>
    <t>Workers Comp Base Cost Estimates</t>
  </si>
  <si>
    <t>Total Medicare Estimate</t>
  </si>
  <si>
    <t>the District and Auditor and Treasurer fees. Auditor and treasurer fees will increase sharply anytime a new operating levy</t>
  </si>
  <si>
    <t xml:space="preserve">Refund of prior years expenditures </t>
  </si>
  <si>
    <t>A09</t>
  </si>
  <si>
    <t>Restricted Federal Grants in Aid Line # 1.045</t>
  </si>
  <si>
    <t>RESERVATIONS OF FUND BALANCE- LINE #9.080</t>
  </si>
  <si>
    <t>Textbooks &amp; Instructional Materials- Line 9.010</t>
  </si>
  <si>
    <t>Capital Improvements- Line 9.020</t>
  </si>
  <si>
    <t>Budget Reserve - Line 9.030</t>
  </si>
  <si>
    <t>Fiscal Stabilization - Line 9.045</t>
  </si>
  <si>
    <t>Property Tax Advances for Future Year- Line 9.060</t>
  </si>
  <si>
    <t>State Bus Purchases- Line 9.070</t>
  </si>
  <si>
    <t>Total Other Financing Sources</t>
  </si>
  <si>
    <t>Transfers In - Line 2.040</t>
  </si>
  <si>
    <t>Advance Returns - Line 2.050</t>
  </si>
  <si>
    <t>Total Transfer &amp; Advances In</t>
  </si>
  <si>
    <t>Intergovernmental</t>
  </si>
  <si>
    <t>Debt Service:</t>
  </si>
  <si>
    <t>All Other Financing Uses</t>
  </si>
  <si>
    <t>Total Other Financing Uses</t>
  </si>
  <si>
    <t>Total Expenditures and Other Financing Uses</t>
  </si>
  <si>
    <t>ESTIMATED REAL ESTATE TAX SUMMARY</t>
  </si>
  <si>
    <t>Also noted below are adjustments for premium holidays which are one time waivers of monthly funding of our health care plan</t>
  </si>
  <si>
    <t>care plan.  The holidays taken in one year must be readjusted to the base of the following year so annual costs at existing funding</t>
  </si>
  <si>
    <t xml:space="preserve">Medicare will continue to increase at the rate of increase in wages.  Contributions are 1.45% for all new employees to the district </t>
  </si>
  <si>
    <t>PROPERTY VALUE GROWTH RATES:</t>
  </si>
  <si>
    <t>Total % Change in AV's</t>
  </si>
  <si>
    <t>Total Replacement Levies</t>
  </si>
  <si>
    <t>Operating Surplus/(Deficit) W/New Levy Modeled</t>
  </si>
  <si>
    <t>TBD</t>
  </si>
  <si>
    <t>Levy</t>
  </si>
  <si>
    <t>Modeled</t>
  </si>
  <si>
    <t>These amounts reflect the state's reimbursement of tangible personal property tax  that is being phased out in HB66.  The numbers</t>
  </si>
  <si>
    <t>b) TANGIBLE PERSONAL PROPERTY REIMBURSEMENTS - Fixed Rate</t>
  </si>
  <si>
    <t xml:space="preserve">rates are known for future forecasting. </t>
  </si>
  <si>
    <t>on or after April 1, 1986.  These amounts are growing at the general growth rate of wages which will be estimated at 4%.</t>
  </si>
  <si>
    <t>noted are from Ohio Department of taxation reports estimating payments to the district for both fixed Rate and Sum Levies.</t>
  </si>
  <si>
    <t>paid in wages to either the State Teachers Retirement System or the School Employees Retirement System as required by Ohio</t>
  </si>
  <si>
    <t>A) STRS/SERS will increase as Wages increase</t>
  </si>
  <si>
    <t>Utilities</t>
  </si>
  <si>
    <t>Tradition SDIT based on 2006 FAGI</t>
  </si>
  <si>
    <t>Earned Income SDIT based on 2006 FAGI</t>
  </si>
  <si>
    <t>This area of the forecast captures all costs associated with benefits and retirement costs. The district pays 14% of each dollar</t>
  </si>
  <si>
    <t xml:space="preserve"> is collected. Also new construction will cause A &amp; T fees to increase as more tax dollars are collected.  A &amp; T Fees will decline</t>
  </si>
  <si>
    <t>Other</t>
  </si>
  <si>
    <t>FY11</t>
  </si>
  <si>
    <t>SUMMARY OF STATE TAX REIMBURSEMENT</t>
  </si>
  <si>
    <t>in which they were ordered.  This is estimated to run at 0.02% for the forecast.</t>
  </si>
  <si>
    <t>ENDING UNENCUMBERED CASH BALANCE - Line # 15.010</t>
  </si>
  <si>
    <t>WAGES - Line #3.010</t>
  </si>
  <si>
    <t>MATERIALS AND SUPPLIES -  Line #3.040</t>
  </si>
  <si>
    <t>Open Enrollment Gross</t>
  </si>
  <si>
    <t>Comm/Ind</t>
  </si>
  <si>
    <t xml:space="preserve"> </t>
  </si>
  <si>
    <t>These are outstanding purchase orders that have not been approved for payment as goods were not received in the fiscal year</t>
  </si>
  <si>
    <t>with Emergency levies expiring, however it is anticipated that they will be replaced so the A&amp;T fees noted below are maintained at</t>
  </si>
  <si>
    <t>HB 264 NOTE REPAYMENT -  Line #4.050</t>
  </si>
  <si>
    <t>INTEREST AND FISCAL CHARGES -  Line #4.060</t>
  </si>
  <si>
    <t>ESTIMATED REAL ESTATE TAX - Line #1.010</t>
  </si>
  <si>
    <t>RENEWAL AND REPLACEMENT LEVIES - Line # 11.020</t>
  </si>
  <si>
    <t>Ending Cash Bal.</t>
  </si>
  <si>
    <t>Local Revenue</t>
  </si>
  <si>
    <t>State Revenue</t>
  </si>
  <si>
    <t>a) ROLLBACK &amp; HOMESTEAD REIMBURSEMENT</t>
  </si>
  <si>
    <t>Comm./Ind.</t>
  </si>
  <si>
    <t>REVENUE ASSUMPTIONS</t>
  </si>
  <si>
    <t>A) UNRESTRICTED STATE FOUNDATION REVENUE SF-3 FORM - Line #1.035</t>
  </si>
  <si>
    <t>SUMMARY OF FRINGE BENEFITS -Line #3.020</t>
  </si>
  <si>
    <t>Source</t>
  </si>
  <si>
    <t>SDIT Collection</t>
  </si>
  <si>
    <t>Type of SDIT</t>
  </si>
  <si>
    <t>Collection Percentages Based on 2009 Passage</t>
  </si>
  <si>
    <t>SDIT Amt.</t>
  </si>
  <si>
    <t>Staff Reductions</t>
  </si>
  <si>
    <t>Insurance Trend Adjustment</t>
  </si>
  <si>
    <t>Revenue</t>
  </si>
  <si>
    <t xml:space="preserve">General Fund Revenues Versus Expenditures - All Sources and Uses </t>
  </si>
  <si>
    <t>A08</t>
  </si>
  <si>
    <t>General Fund Ending Cash Balances</t>
  </si>
  <si>
    <t>Unencumbered Bal.</t>
  </si>
  <si>
    <t>General Fund Local Vs. State Revenues - Revenue Receipts Only Excludes Other Financing Sources</t>
  </si>
  <si>
    <t>FY12</t>
  </si>
  <si>
    <t>FY13</t>
  </si>
  <si>
    <t>Total</t>
  </si>
  <si>
    <t>Purchased Services</t>
  </si>
  <si>
    <t>Materials</t>
  </si>
  <si>
    <t>Option 4 Traditional 2% SDIT Used</t>
  </si>
  <si>
    <t>Option 5 Traditional 2.25% SDIT Used</t>
  </si>
  <si>
    <t xml:space="preserve">This account group covers fund to fund transfers and end of year short term loans from the General Fund to other funds until they </t>
  </si>
  <si>
    <t>FY10</t>
  </si>
  <si>
    <t>Estimated Encumbrances</t>
  </si>
  <si>
    <t>Debt Service - Line 9.05</t>
  </si>
  <si>
    <t>DPIA - Line 9.040</t>
  </si>
  <si>
    <t>The category of Other Expenses consists primarily of County ESC deductions for specialized services provided to</t>
  </si>
  <si>
    <t>planned to be returned in the succeeding fiscal year.</t>
  </si>
  <si>
    <t>reimbursements for expenses received for a previous fiscal year in the current fiscal year.  All advances over year end are</t>
  </si>
  <si>
    <t>SDIT Borrowing</t>
  </si>
  <si>
    <t xml:space="preserve">  $100,000 value. Saves avg. homeowner based on $106,000 avg. home</t>
  </si>
  <si>
    <t xml:space="preserve">  $473 per year.</t>
  </si>
  <si>
    <t>Property Taxes</t>
  </si>
  <si>
    <t>Cash Over/(under) needs</t>
  </si>
  <si>
    <t>Cummulative Cash Position</t>
  </si>
  <si>
    <r>
      <t>Cuts</t>
    </r>
    <r>
      <rPr>
        <sz val="10"/>
        <rFont val="Times"/>
        <family val="1"/>
      </rPr>
      <t xml:space="preserve"> of $500,000….must hold cuts to repay SDIT borrowing</t>
    </r>
  </si>
  <si>
    <t>Actual</t>
  </si>
  <si>
    <t>Other expenses</t>
  </si>
  <si>
    <t>Supplies</t>
  </si>
  <si>
    <t>Base R &amp; H</t>
  </si>
  <si>
    <t>These are non-operating revenues which are the repayment of short term loans to other funds over the previous fiscal year and</t>
  </si>
  <si>
    <t>Base Costs</t>
  </si>
  <si>
    <t>Other Local</t>
  </si>
  <si>
    <r>
      <t>Cuts</t>
    </r>
    <r>
      <rPr>
        <sz val="10"/>
        <rFont val="Times"/>
        <family val="1"/>
      </rPr>
      <t xml:space="preserve"> of $1,000,000….must hold cuts to repay SDIT borrowing</t>
    </r>
  </si>
  <si>
    <t>Ohio Department of Education</t>
  </si>
  <si>
    <t>end</t>
  </si>
  <si>
    <t>SUMMARY OF ASSESSED VALUATION INCLUDING PUPP AND TPP; PROPERTY TAX RATES; AND, PROPERTY TAX ESTIMATES</t>
  </si>
  <si>
    <t>PROPERTY TAX VALUE CATEGORIES:</t>
  </si>
  <si>
    <t xml:space="preserve">Line </t>
  </si>
  <si>
    <t xml:space="preserve">Res Ag./Comm/PUPP collection Est. </t>
  </si>
  <si>
    <t>TPP Tax Estimate</t>
  </si>
  <si>
    <t xml:space="preserve">Est. Rollback, &amp; Homstead </t>
  </si>
  <si>
    <t>General Fund Levies (Gross Tax Rates)</t>
  </si>
  <si>
    <t xml:space="preserve">Assessed Valuations for General Property Taxes  </t>
  </si>
  <si>
    <t>Res/Ag -Class 1 Real Property</t>
  </si>
  <si>
    <t xml:space="preserve">  Res/Ag - Carryover Value (Prior Tax Year Value)</t>
  </si>
  <si>
    <t>Update</t>
  </si>
  <si>
    <t>Reappraisal</t>
  </si>
  <si>
    <t>Increases/(Decreases) To AV Due To :</t>
  </si>
  <si>
    <t xml:space="preserve">  Net Demolition  &amp; New Construction</t>
  </si>
  <si>
    <t xml:space="preserve">  Changes by  BOR &amp; BTA</t>
  </si>
  <si>
    <t xml:space="preserve">  Estimated % Increase on Reappraisal</t>
  </si>
  <si>
    <t>Total Res/Ag Class 1 Valuation</t>
  </si>
  <si>
    <t>Comm/Ind -Class 2 Real Property</t>
  </si>
  <si>
    <t xml:space="preserve">  Comm/Ind/Mineral/RR-  Carryover Value</t>
  </si>
  <si>
    <t>Total Comm/Ind Class 2 Valuation</t>
  </si>
  <si>
    <t>Total Res/Ag &amp; Comm/Ind Valuation</t>
  </si>
  <si>
    <t xml:space="preserve">  Public Utility Tangible (PUPP) &amp; TPP Valuation</t>
  </si>
  <si>
    <t xml:space="preserve">  Carryover PUPP Value</t>
  </si>
  <si>
    <t xml:space="preserve">  Adjustments in PUPP values +/(-)</t>
  </si>
  <si>
    <t xml:space="preserve">  Tangible Personal Property (TPP)</t>
  </si>
  <si>
    <t>Total PUPP &amp; TPP</t>
  </si>
  <si>
    <t>Total All Real, PUPP and TPP  Valuation</t>
  </si>
  <si>
    <t>(Note: The amounts in gray are calculated based on data input above do not over ride)</t>
  </si>
  <si>
    <t>Est. Tax Dollars -Cal. Year Basis</t>
  </si>
  <si>
    <t xml:space="preserve">Tax Revenue Est. from Res/Ag Cal Year </t>
  </si>
  <si>
    <t xml:space="preserve">Tax Revenue Est. from Comm/Ind Cal Year </t>
  </si>
  <si>
    <t xml:space="preserve">Tax Revenue from PUPP </t>
  </si>
  <si>
    <t>Tax Revenue from TPP</t>
  </si>
  <si>
    <t>Total Property Tax Estimate Calendar Year Basis</t>
  </si>
  <si>
    <t>Adjust for Rollback &amp; Homestead and $10,000K  State Property Tax Credits To Reimburse District</t>
  </si>
  <si>
    <t>Est. State Property Tax Credits</t>
  </si>
  <si>
    <t>Input %</t>
  </si>
  <si>
    <t xml:space="preserve">  2.5% Rollback at estimated % collection</t>
  </si>
  <si>
    <t xml:space="preserve">  Homestead at est. % collection</t>
  </si>
  <si>
    <t xml:space="preserve">  TPP $10,000 Exemption</t>
  </si>
  <si>
    <t>Total All Prop. Tax Rev. Est. (Net R&amp;H)</t>
  </si>
  <si>
    <t>Est. Collection Rate - (input rate)</t>
  </si>
  <si>
    <t>NOTE: The Estimated collection amount noted  on Line 122  is what should be collected from the county treasurer after fees and R&amp;H has been taken out.</t>
  </si>
  <si>
    <t>General Property Tax Revenue Est. Including PUPP  (after State Credits)</t>
  </si>
  <si>
    <t>Total General Property Tax Revenues Line 1.01 Forecast</t>
  </si>
  <si>
    <t>Estimated Property Tax Allocations</t>
  </si>
  <si>
    <t>Total State Property Tax Credits Line 1.050</t>
  </si>
  <si>
    <t xml:space="preserve">  October Settlement</t>
  </si>
  <si>
    <t xml:space="preserve">  June Settlement</t>
  </si>
  <si>
    <t>Total TPP  Tax Est. Line 1.02</t>
  </si>
  <si>
    <t>TPP State Reimbursements</t>
  </si>
  <si>
    <t xml:space="preserve">  Fixed Sum</t>
  </si>
  <si>
    <t xml:space="preserve">  Fixed Rate</t>
  </si>
  <si>
    <t>Total State TPP Payments  Line 1.050</t>
  </si>
  <si>
    <t xml:space="preserve">Renewal/Replacement &amp; New Levies </t>
  </si>
  <si>
    <t xml:space="preserve">Est. Revenue from Replacement /Renewal Levies </t>
  </si>
  <si>
    <t xml:space="preserve">  Property Tax Renewal #3</t>
  </si>
  <si>
    <t>Cummulative Balance Renew/Repl. Line 11.30</t>
  </si>
  <si>
    <t xml:space="preserve">Est. Revenue from NEW Levies </t>
  </si>
  <si>
    <t xml:space="preserve">  Income tax - new Line 13.10</t>
  </si>
  <si>
    <t xml:space="preserve">  Property tax- new Line 13.20</t>
  </si>
  <si>
    <t>Cummulative Balance New Levies 13.30</t>
  </si>
  <si>
    <t>Section 1       REAL ESTATE VALUE ASSUMPTIONS - Line#1.010</t>
  </si>
  <si>
    <t>Location of Data : Classification is ok the New Base section needs worked on the TAX Tab</t>
  </si>
  <si>
    <t>NEW TAX LEVIES - Line #13.10 and Line # 13.20</t>
  </si>
  <si>
    <t>New SDIT Line # 13.10</t>
  </si>
  <si>
    <t>New Levy Modeled Line # 13.20</t>
  </si>
  <si>
    <t>Total Line # 13.30</t>
  </si>
  <si>
    <t>Section 3    TANGIBLE PERSONAL TAX AND PUBLIC UTILITY - Line #1.020</t>
  </si>
  <si>
    <t>Total Reservations of Balance- Line#9.080</t>
  </si>
  <si>
    <t xml:space="preserve"> SDIT REVENUES - Line # 1.030</t>
  </si>
  <si>
    <t xml:space="preserve">Adjustments </t>
  </si>
  <si>
    <t>Total  to Line #1.030</t>
  </si>
  <si>
    <t>Section 4    SCHOOL DISTRICT INCOME TAX COLLECTIONS - Line #1.030</t>
  </si>
  <si>
    <t>State Emergency Loan - Line 2.020</t>
  </si>
  <si>
    <t>Principal TANS Line #4.020</t>
  </si>
  <si>
    <t>Principal State Loans Line #4.030</t>
  </si>
  <si>
    <t>Principal State Advances Line #4.040</t>
  </si>
  <si>
    <t>HB 264 Principal  Line # 4.050</t>
  </si>
  <si>
    <t>Principal Emergency Levy TANS Line # 4.055</t>
  </si>
  <si>
    <t>Total Principal Payments</t>
  </si>
  <si>
    <t>Operating Transfers Out Line #5.010</t>
  </si>
  <si>
    <t>Advances Out Line #5.020</t>
  </si>
  <si>
    <t>All Other Financing Uses - Line #5.030</t>
  </si>
  <si>
    <t>Section 2      LEVY AND SDIT RENEWAL REPLACEMENTS - Line#11.02</t>
  </si>
  <si>
    <t>RENEWAL AND REPLACEMENT INCOME TAX (SDIT) - Line # 11.010</t>
  </si>
  <si>
    <t>Renew SDIT   Total To Line # 11.010</t>
  </si>
  <si>
    <t>Section 6 - STATE TAXES REIMBURSEMENT/PROPERTY TAX ALLOCATION - Line # 1.050</t>
  </si>
  <si>
    <t xml:space="preserve">Section 8 - TRANSFERS IN/RETURN OF ADVANCES </t>
  </si>
  <si>
    <t>Section 9 -WAGES - Line #3.010</t>
  </si>
  <si>
    <t>Section 10 -FRINGES BENEFITS - Line #3.020</t>
  </si>
  <si>
    <t>Section 11 - PURCHASED SERVICES - Line #3.020</t>
  </si>
  <si>
    <t>Section 12 - MATERIALS AND SUPPLIES - Line #3.040</t>
  </si>
  <si>
    <t>Section 13 - EQUIPMENT - Line #3.050</t>
  </si>
  <si>
    <t>Section 14 - TAX ANTICIPATION NOTE REPAYMENT -  Line #4.020</t>
  </si>
  <si>
    <t>Section 15 - OTHER EXPENSES - Line #4.300</t>
  </si>
  <si>
    <t>Section 16- TRANSFERS OUT/ADVANCES OUT/OTHER USES - LINE# 5.010 - 5.030</t>
  </si>
  <si>
    <t>Section 17 - Fund Balance</t>
  </si>
  <si>
    <t>Base  Adjustment  (eg. premium holidays, ERI's)</t>
  </si>
  <si>
    <t>Premium Holiday or other significant adjustments</t>
  </si>
  <si>
    <t>New Levy- (Proj.  gross not net of R&amp;H)</t>
  </si>
  <si>
    <t>Rev. From  State Advances Line #14.010</t>
  </si>
  <si>
    <t>ALL OTHER FINANCIAL SOURCES - Line #2.060 &amp; Line 14.010</t>
  </si>
  <si>
    <t>Unemployment  Comp  Cost Estimates</t>
  </si>
  <si>
    <t>Total BWC &amp; UC Estimates</t>
  </si>
  <si>
    <t>Interest on TANS &amp; HB 264  Total Line 4.060</t>
  </si>
  <si>
    <t>Open Enrollment</t>
  </si>
  <si>
    <t>Education Jobs Bill in FY12 is expected to buffer loss of SFSF</t>
  </si>
  <si>
    <t>Debt Pmts.</t>
  </si>
  <si>
    <t>C) RESTRICTED FEDERAL GRANTS IN AID - SFSF (Fund 532); Ed Jobs Bill FY12 (Fund 504) - Line #1.045</t>
  </si>
  <si>
    <t>Rest. Fed. Grants - SFSF &amp; Ed Jobs Line #1.045</t>
  </si>
  <si>
    <t>Reduction/Increase  Factor</t>
  </si>
  <si>
    <t>Total Assessed Value</t>
  </si>
  <si>
    <t>Additional Aid Items</t>
  </si>
  <si>
    <t>Notes:</t>
  </si>
  <si>
    <t>FTE</t>
  </si>
  <si>
    <t>UNFUNDED RECAPTURE</t>
  </si>
  <si>
    <t>GRAND TOTAL</t>
  </si>
  <si>
    <t>Basic Aid-Unrestricted</t>
  </si>
  <si>
    <t>New Levy Modeled Pass in 2015 Collect 2016 (no growth)</t>
  </si>
  <si>
    <t>FY18</t>
  </si>
  <si>
    <t>FY19</t>
  </si>
  <si>
    <t>FY20</t>
  </si>
  <si>
    <t>FY21</t>
  </si>
  <si>
    <t>FY22</t>
  </si>
  <si>
    <t>FY23</t>
  </si>
  <si>
    <t>New SDIT or Prop Tax</t>
  </si>
  <si>
    <t>LEVY MODELING AND STRATEGIC REVENUE PLANNING THROUGH 2022</t>
  </si>
  <si>
    <r>
      <rPr>
        <b/>
        <sz val="11"/>
        <rFont val="Calibri"/>
        <family val="2"/>
      </rPr>
      <t>©</t>
    </r>
    <r>
      <rPr>
        <b/>
        <sz val="8.25"/>
        <rFont val="Arial"/>
        <family val="2"/>
      </rPr>
      <t xml:space="preserve"> K-12 Business Consulting, Inc</t>
    </r>
  </si>
  <si>
    <t>Variance</t>
  </si>
  <si>
    <t>Var. %</t>
  </si>
  <si>
    <t>FY 17</t>
  </si>
  <si>
    <t>TAX YEAR2016</t>
  </si>
  <si>
    <t>COLLECT2017</t>
  </si>
  <si>
    <t>COLLECT 2017</t>
  </si>
  <si>
    <t>A) STRS/SERS</t>
  </si>
  <si>
    <t>B) Insurance's</t>
  </si>
  <si>
    <t>C) Workers Comp/Unemployment</t>
  </si>
  <si>
    <t>D) Medicare</t>
  </si>
  <si>
    <t>b) TPP Reimbursement - Fixed Rate</t>
  </si>
  <si>
    <t>c) TPP Reimbursement - Fixed Sum</t>
  </si>
  <si>
    <t>A06</t>
  </si>
  <si>
    <t>A07</t>
  </si>
  <si>
    <t>Ohio Casino Commission ODT</t>
  </si>
  <si>
    <t>ADM for the Casino Calculation</t>
  </si>
  <si>
    <t>Estimated per ADM</t>
  </si>
  <si>
    <t>Basic Aid-Unrestricted Subtotal</t>
  </si>
  <si>
    <t>Line</t>
  </si>
  <si>
    <t>July</t>
  </si>
  <si>
    <t>Aug</t>
  </si>
  <si>
    <t>Sept</t>
  </si>
  <si>
    <t>Oct</t>
  </si>
  <si>
    <t>Nov</t>
  </si>
  <si>
    <t>Dec</t>
  </si>
  <si>
    <t>Jan</t>
  </si>
  <si>
    <t>Mar</t>
  </si>
  <si>
    <t>Feb</t>
  </si>
  <si>
    <t>Apr</t>
  </si>
  <si>
    <t xml:space="preserve">May </t>
  </si>
  <si>
    <t>Jun</t>
  </si>
  <si>
    <t>Budget</t>
  </si>
  <si>
    <t>Balance</t>
  </si>
  <si>
    <t>May</t>
  </si>
  <si>
    <t>Beg Balance</t>
  </si>
  <si>
    <t>Beg</t>
  </si>
  <si>
    <t>Fund Balance</t>
  </si>
  <si>
    <t>General Fund Balance</t>
  </si>
  <si>
    <t>Total Positions</t>
  </si>
  <si>
    <t>Reservations</t>
  </si>
  <si>
    <t>As forecasted</t>
  </si>
  <si>
    <t>`</t>
  </si>
  <si>
    <t>COLLECT2018</t>
  </si>
  <si>
    <t>TAX YEAR2017</t>
  </si>
  <si>
    <t>COLLECT 2018</t>
  </si>
  <si>
    <t>Proofs</t>
  </si>
  <si>
    <t>Model to Notes</t>
  </si>
  <si>
    <t>Begin Fund Balance</t>
  </si>
  <si>
    <t>Ending</t>
  </si>
  <si>
    <t>Acum Renewals</t>
  </si>
  <si>
    <t xml:space="preserve"> Proof Of Accum Renewal</t>
  </si>
  <si>
    <t xml:space="preserve">Acum New Tax </t>
  </si>
  <si>
    <t>Model to CSV</t>
  </si>
  <si>
    <t>Tota Expenses</t>
  </si>
  <si>
    <t>Beg Fund Balance</t>
  </si>
  <si>
    <t>Ending Fund Balance</t>
  </si>
  <si>
    <t>Accum Renewal 11.3</t>
  </si>
  <si>
    <t>Accum New 13.3</t>
  </si>
  <si>
    <t>Ending 15.01</t>
  </si>
  <si>
    <t xml:space="preserve">School Finance - Policy and Payment services </t>
  </si>
  <si>
    <t>District IRN:</t>
  </si>
  <si>
    <t>Name:</t>
  </si>
  <si>
    <t>Detailed Calculation of Funding Components of the Formula:</t>
  </si>
  <si>
    <t>Calculated Funding</t>
  </si>
  <si>
    <t>A -</t>
  </si>
  <si>
    <t>B -</t>
  </si>
  <si>
    <t>Targeted Assistance [B5+B8]:  ……………………………………………………………….…………………..………..</t>
  </si>
  <si>
    <t>B1 -</t>
  </si>
  <si>
    <t>B2 -</t>
  </si>
  <si>
    <t>B3 -</t>
  </si>
  <si>
    <t>B4 -</t>
  </si>
  <si>
    <t>Targeted Assistance Wealth Index [B2/B1]:   …………………………………….…………..…………..</t>
  </si>
  <si>
    <t>B5 -</t>
  </si>
  <si>
    <t>Basic Targeted Assistance [((B3-B1)*0.006*B4)*e6]:   …………….…………..……………………..</t>
  </si>
  <si>
    <t>B6 -</t>
  </si>
  <si>
    <t>Agricultural Real Value Percentage  [h/g]:  …………………………………………...…………………..</t>
  </si>
  <si>
    <t>B7 -</t>
  </si>
  <si>
    <t>Agricultural Targeted Percentage [if B6&gt;=0.1 then 0.4 else (B6*4)]:   …………….……………</t>
  </si>
  <si>
    <t>B8 -</t>
  </si>
  <si>
    <t>Supplemental Targeted Assistance [B5*B7]:   ……………………………..…………………………….</t>
  </si>
  <si>
    <t>C -</t>
  </si>
  <si>
    <t>D -</t>
  </si>
  <si>
    <t>E -</t>
  </si>
  <si>
    <t>Limited English Proficiency Funding [E1+E2+E3]:  …………………………………..…………………………….</t>
  </si>
  <si>
    <t>E1 -</t>
  </si>
  <si>
    <t>E2 -</t>
  </si>
  <si>
    <t>E3 -</t>
  </si>
  <si>
    <t>F -</t>
  </si>
  <si>
    <t>Gifted Education Funding[F1+F2+F3]:   ………………………………….……………………………………………..</t>
  </si>
  <si>
    <t>F1 -</t>
  </si>
  <si>
    <t>F2 -</t>
  </si>
  <si>
    <t>F3 -</t>
  </si>
  <si>
    <t>G -</t>
  </si>
  <si>
    <t>Transportation Funding:  ………….…………………………………….…..………….…………….…………………..</t>
  </si>
  <si>
    <t>H -</t>
  </si>
  <si>
    <t>Special Education Additional Funding [H1+H2+H3+H4+H5+H6]:    ………………………………….……………………………………….</t>
  </si>
  <si>
    <t>H1 -</t>
  </si>
  <si>
    <t>H2 -</t>
  </si>
  <si>
    <t>H3 -</t>
  </si>
  <si>
    <t>H4 -</t>
  </si>
  <si>
    <t>H5 -</t>
  </si>
  <si>
    <t>H6 -</t>
  </si>
  <si>
    <t>I -</t>
  </si>
  <si>
    <t>Career Technical Education Funding [I1+I2+I3+I4+I5+I6]:    ……………………………………………….……..…………………………..</t>
  </si>
  <si>
    <t>I1 -</t>
  </si>
  <si>
    <t>I2 -</t>
  </si>
  <si>
    <t>I3 -</t>
  </si>
  <si>
    <t>I4 -</t>
  </si>
  <si>
    <t>I5 -</t>
  </si>
  <si>
    <t>I6 -</t>
  </si>
  <si>
    <t>O -</t>
  </si>
  <si>
    <t>P -</t>
  </si>
  <si>
    <t>Statewide Factors and Parameters:</t>
  </si>
  <si>
    <t>District Factors and Parameters:</t>
  </si>
  <si>
    <t>s1 -</t>
  </si>
  <si>
    <t>s2 -</t>
  </si>
  <si>
    <t>s3 -</t>
  </si>
  <si>
    <t>s4 -</t>
  </si>
  <si>
    <t>s5 -</t>
  </si>
  <si>
    <t>s6 -</t>
  </si>
  <si>
    <t>a -</t>
  </si>
  <si>
    <t>a1 -</t>
  </si>
  <si>
    <t xml:space="preserve">a3 - </t>
  </si>
  <si>
    <t>a2 -</t>
  </si>
  <si>
    <t>a4 -</t>
  </si>
  <si>
    <t>a5 -</t>
  </si>
  <si>
    <t>b -</t>
  </si>
  <si>
    <t>b1 -</t>
  </si>
  <si>
    <t>b2 -</t>
  </si>
  <si>
    <t>b3 -</t>
  </si>
  <si>
    <t>b4 -</t>
  </si>
  <si>
    <t>b5 -</t>
  </si>
  <si>
    <t>b6 -</t>
  </si>
  <si>
    <t>Special Education ADM Data</t>
  </si>
  <si>
    <t>c -</t>
  </si>
  <si>
    <t>Career Tech FTE</t>
  </si>
  <si>
    <t>c1 -</t>
  </si>
  <si>
    <t>c2 -</t>
  </si>
  <si>
    <t>c3 -</t>
  </si>
  <si>
    <t>c4 -</t>
  </si>
  <si>
    <t>c5 -</t>
  </si>
  <si>
    <t>d -</t>
  </si>
  <si>
    <t>Limited English Proficient ADM</t>
  </si>
  <si>
    <t>d1 -</t>
  </si>
  <si>
    <t>d2 -</t>
  </si>
  <si>
    <t>d3 -</t>
  </si>
  <si>
    <t>e -</t>
  </si>
  <si>
    <t>Additional ADM Data</t>
  </si>
  <si>
    <t>e1 -</t>
  </si>
  <si>
    <t>e2 -</t>
  </si>
  <si>
    <t>e4 -</t>
  </si>
  <si>
    <t>e5 -</t>
  </si>
  <si>
    <t>e9 -</t>
  </si>
  <si>
    <t>e10 -</t>
  </si>
  <si>
    <t>e11 -</t>
  </si>
  <si>
    <t>f -</t>
  </si>
  <si>
    <t>g -</t>
  </si>
  <si>
    <t>h -</t>
  </si>
  <si>
    <t>i -</t>
  </si>
  <si>
    <t>i1 -</t>
  </si>
  <si>
    <t>i2 -</t>
  </si>
  <si>
    <t>i3 -</t>
  </si>
  <si>
    <t>Category 1 LEP ADM:   ……………………………………………………………………………………………………………...………………</t>
  </si>
  <si>
    <t>Category 2 LEP ADM:   ……………………………………………………………………………………………………………………………...</t>
  </si>
  <si>
    <t>Category 3 LEP ADM:   ……………………………………………………………………………………………………………………….……..</t>
  </si>
  <si>
    <t>K-3 Formula ADM:   ……………………………………………………………………………………………………………………………………</t>
  </si>
  <si>
    <t xml:space="preserve"> K-3 E-School Formula ADM:   ……………………………………………………………………………………………………………………..</t>
  </si>
  <si>
    <t>Preschool Autism Scholarship ADM:   ………………………………………………………………………………………………………….</t>
  </si>
  <si>
    <t>Brick &amp; Mortar Community and STEM School Formula ADM:   ……………………………………………………………………..</t>
  </si>
  <si>
    <t>Ed Choice Scholarship ADM:   ……………………………………………………………………………………</t>
  </si>
  <si>
    <t>Autism Scholarship ADM:   ……………………………………………………………………………………….</t>
  </si>
  <si>
    <t>Jon Peterson Scholarship ADM:   ……………………………………………………………………………….</t>
  </si>
  <si>
    <t>Economic Disadvantaged ADM:   ……………………………………………………………………………..</t>
  </si>
  <si>
    <t>Economic Disadvantaged Percentage:   ………………………………………………………………………………………………………</t>
  </si>
  <si>
    <t>3-Year Average Federal Adjusted Gross Income:   …………………………………………………………………………………………………..</t>
  </si>
  <si>
    <t>3-Year Average Total Real Valuation:   ………………………………………………………………………………………………………………….</t>
  </si>
  <si>
    <t>3-Year Average Agricultural Real Valuation:   ………………………………………………………………………………………………………..</t>
  </si>
  <si>
    <t>3-Year Average Adjusted Total Valuation [if i2&gt;(0.3*i3) then i1-(i2-(0.3*i3)) else i1]:   ………………………………………………</t>
  </si>
  <si>
    <t>3-Year Average Total Valuation:   ……………………………………………………………………………..</t>
  </si>
  <si>
    <t>Exempt Property Valuation for FY14:   ………………………………………………………………………</t>
  </si>
  <si>
    <t>Potential Property Valuation [i1+i2):   ……………………………………………………………………….</t>
  </si>
  <si>
    <t>State Share Index:   ………………………………………………………………………………………………………………………………………………</t>
  </si>
  <si>
    <t>Jointure JVS ADM:   ……………………………………………………………………………………………….….</t>
  </si>
  <si>
    <t>Tuition Kindergarten FTE:  ………………………………………………………………………………….……..</t>
  </si>
  <si>
    <t>Total ADM: ………………………………………………………………………………………………………………</t>
  </si>
  <si>
    <t>Statewide Economic Disadvantaged Percentage:   ………………………………………………………………….…………...……………….</t>
  </si>
  <si>
    <t>Adjusted Total ADM [a2-(a3*0.5)]:   ……………………………………………………………………………..…………………………….</t>
  </si>
  <si>
    <t>Category 1 Special Education ADM:   ……………………………………………………………………………………….…………………</t>
  </si>
  <si>
    <t>Category 2 Special Education ADM:   …………………………………………………………………………………….……………………</t>
  </si>
  <si>
    <t>Category 3 Special Education ADM:   …………………………………………………………………………………….……………………</t>
  </si>
  <si>
    <t>Category 4 Special Education ADM:   …………………………………………………………………………………..……………………..</t>
  </si>
  <si>
    <t>Category 5 Special Education ADM:   …………………………………………………………………………………….……………………</t>
  </si>
  <si>
    <t>Category 6 Special Education ADM:   ……………………………………………………………………………………..…………………..</t>
  </si>
  <si>
    <t>Category 1 Career Tech FTE:   ……………………………………………………………………………………….…………………………..</t>
  </si>
  <si>
    <t>Category 2 Career Tech FTE:   ……………………………………………………………………………….……………………………………</t>
  </si>
  <si>
    <t>Category 3 Career Tech FTE:   …………………………………………………………………………….………………………………………</t>
  </si>
  <si>
    <t>Category 4 Career Tech FTE:   …………………………………………………………………………….………………………………………</t>
  </si>
  <si>
    <t>Category 5 Career Tech FTE:   ……………………………………………………………………………….……………………………………</t>
  </si>
  <si>
    <t>E-School Formula ADM:   ……………………………………………………………………………………………….…………………………..</t>
  </si>
  <si>
    <t>Economic Disadvantaged Index [(e11/s3)^2]:   ………………………………………………………………….……………………………………</t>
  </si>
  <si>
    <t xml:space="preserve"> + Revenues</t>
  </si>
  <si>
    <t xml:space="preserve"> + Proposed Renewal/ Replacement Levies</t>
  </si>
  <si>
    <t xml:space="preserve"> + Proposed New Levies</t>
  </si>
  <si>
    <t xml:space="preserve"> - Expenditures</t>
  </si>
  <si>
    <t xml:space="preserve"> = Revenue Surplus or Deficit</t>
  </si>
  <si>
    <t>Beginning Balance</t>
  </si>
  <si>
    <t>Ending Balance</t>
  </si>
  <si>
    <t>Revenue Surplus or Deficit w/o Levies</t>
  </si>
  <si>
    <t>Ending Balance w/o Levies</t>
  </si>
  <si>
    <t>v1</t>
  </si>
  <si>
    <t>v2</t>
  </si>
  <si>
    <t>v3</t>
  </si>
  <si>
    <t>v4</t>
  </si>
  <si>
    <t>Average Assessed Value</t>
  </si>
  <si>
    <t>v5</t>
  </si>
  <si>
    <t>Tax Exempt</t>
  </si>
  <si>
    <t>Assessed Value FY minus 1</t>
  </si>
  <si>
    <t>Assessed Value FY minus 2</t>
  </si>
  <si>
    <t>Assessed Value FY minus 3</t>
  </si>
  <si>
    <t>v6</t>
  </si>
  <si>
    <t>Abated</t>
  </si>
  <si>
    <t>v7</t>
  </si>
  <si>
    <t>Potential Property Valuation</t>
  </si>
  <si>
    <t>v8</t>
  </si>
  <si>
    <t>Valuation Adjustment</t>
  </si>
  <si>
    <t>v9</t>
  </si>
  <si>
    <t>Median Income</t>
  </si>
  <si>
    <t>i1</t>
  </si>
  <si>
    <t>Calculation of State Index</t>
  </si>
  <si>
    <t>c1</t>
  </si>
  <si>
    <t>Valuation Index</t>
  </si>
  <si>
    <t>c2</t>
  </si>
  <si>
    <t>c3</t>
  </si>
  <si>
    <t>Wealth Index</t>
  </si>
  <si>
    <t>c4</t>
  </si>
  <si>
    <t>State Share Index</t>
  </si>
  <si>
    <t>Base ADM Data          </t>
  </si>
  <si>
    <t>e12 -</t>
  </si>
  <si>
    <t>Calculated</t>
  </si>
  <si>
    <t>Actual Formula</t>
  </si>
  <si>
    <t>Community School</t>
  </si>
  <si>
    <t>E school Disadvantaged ADM:   ………………………………………………………………………………………………………</t>
  </si>
  <si>
    <t>TAX YEAR2018</t>
  </si>
  <si>
    <t>COLLECT 2019</t>
  </si>
  <si>
    <t>COLLECT2019</t>
  </si>
  <si>
    <t>3 Year Avg Total Valuation</t>
  </si>
  <si>
    <t>s7 -</t>
  </si>
  <si>
    <t>Contract Vocational ADM</t>
  </si>
  <si>
    <t>a6</t>
  </si>
  <si>
    <t>Formula ADM [a1-(0.8*a4)+(0.2*a5))]:   ……………………………………………………………………………………………………………………</t>
  </si>
  <si>
    <t>m-</t>
  </si>
  <si>
    <t>Statewide Local Wealth Per Pupil [((s6/s2)*0.5)+((s7/s2)*0.5]:  ………………………….….……</t>
  </si>
  <si>
    <t>K-3 Literacy Funding [($175*(e1-e2)*j)+($115*(e1-e2))]……………………………………………………………………………….</t>
  </si>
  <si>
    <t>Economic Disadvantaged Funding [$272*(e10-e12)*k)]:  …………………………………….…………………………</t>
  </si>
  <si>
    <t>Category 1 Funding [$1,515*d1*j]:    …………………………………………………………..…………….</t>
  </si>
  <si>
    <t>Category 2 Funding [$1,136*d2*j]:   ………………………………………………………….….…..……..</t>
  </si>
  <si>
    <t>Category 3 Funding [$758*d3*j]:    …………………………………………………………………………….</t>
  </si>
  <si>
    <t>Identification Funding [$5.05*a5]:   …………………………………………………………………..………</t>
  </si>
  <si>
    <t>Coordinator Funding [$37,370*((a6-(e4+e5))/3,300) if &lt;0.5 then 0.5; if &gt;8 then 8]: ........</t>
  </si>
  <si>
    <t>Intervention Specialist Funding [$37,370*((a6-(e4+e5))/1,100) if &lt;0.3 then 0.3]:   ….…...</t>
  </si>
  <si>
    <t>Associated Services Funding [(c1+c2+c3+c4+c5)*$227*j]:   ………………………………………….</t>
  </si>
  <si>
    <t>M-</t>
  </si>
  <si>
    <t>Avg Cost</t>
  </si>
  <si>
    <t xml:space="preserve">  Administrative- New Hire</t>
  </si>
  <si>
    <t xml:space="preserve">  Certified - New Hire</t>
  </si>
  <si>
    <t xml:space="preserve">  Classified -New Hire</t>
  </si>
  <si>
    <t xml:space="preserve">  Administrative- Retire/RIF</t>
  </si>
  <si>
    <t xml:space="preserve">  Certified - Retire/RIF</t>
  </si>
  <si>
    <t xml:space="preserve">  Classified -Retire/Rif</t>
  </si>
  <si>
    <t xml:space="preserve">   Base Increase</t>
  </si>
  <si>
    <t xml:space="preserve">GROWTH - Regular
</t>
  </si>
  <si>
    <t>Administration</t>
  </si>
  <si>
    <t xml:space="preserve">Certified </t>
  </si>
  <si>
    <t>Classified</t>
  </si>
  <si>
    <t>Salary</t>
  </si>
  <si>
    <t>Subtotal</t>
  </si>
  <si>
    <t xml:space="preserve">Subtotal </t>
  </si>
  <si>
    <t>Special Education</t>
  </si>
  <si>
    <t>Certified</t>
  </si>
  <si>
    <t>Defease HB264</t>
  </si>
  <si>
    <t>Small Adjustments to Dec 15 Actual Property Tax Revenues Aug Settlement and New Assessed Value</t>
  </si>
  <si>
    <t>Increase State Fund to 5%</t>
  </si>
  <si>
    <t>Increase Utility</t>
  </si>
  <si>
    <t>Difference in Fund Balance</t>
  </si>
  <si>
    <t>Additional Staffing Pre School</t>
  </si>
  <si>
    <t>-- Open Enrollment, Community, School</t>
  </si>
  <si>
    <t>Annual Amounts</t>
  </si>
  <si>
    <t>Ending Unencumbered Cash Balance</t>
  </si>
  <si>
    <t>Grand Total Staff</t>
  </si>
  <si>
    <t>Estimated Benefits</t>
  </si>
  <si>
    <t xml:space="preserve">1.  Tax revenue (Lines 1.01 &amp; 1.02)  has been changed to reflect current collections.  </t>
  </si>
  <si>
    <t>5 Yr. Change</t>
  </si>
  <si>
    <t>Original</t>
  </si>
  <si>
    <t>Revised</t>
  </si>
  <si>
    <t>Inc (Dec)</t>
  </si>
  <si>
    <t>3.  Restricted &amp; Unrestricted grants in Aid (Lines 1.035, 1.04, 1.045)  have been adjusted to reflect</t>
  </si>
  <si>
    <t>4.  Property Tax Allocation (line 1.05)  reflects phase out of TPP Fixed rate in FY16 per HB 64</t>
  </si>
  <si>
    <t>Save (Cost)</t>
  </si>
  <si>
    <t>8.  Changes to Line 3.03 to 4.30</t>
  </si>
  <si>
    <t>Summary</t>
  </si>
  <si>
    <t>Current Year</t>
  </si>
  <si>
    <t>Cumulative</t>
  </si>
  <si>
    <t>Changes</t>
  </si>
  <si>
    <t>New balance</t>
  </si>
  <si>
    <t>Total Orig Revenues</t>
  </si>
  <si>
    <t>Total New Revenues</t>
  </si>
  <si>
    <t>Total Orig Expe</t>
  </si>
  <si>
    <t>Total New Expenditures</t>
  </si>
  <si>
    <t>TAX YEAR2019</t>
  </si>
  <si>
    <t>COLLECT 2020</t>
  </si>
  <si>
    <t>i3</t>
  </si>
  <si>
    <t>i4</t>
  </si>
  <si>
    <t>i5</t>
  </si>
  <si>
    <t>J-</t>
  </si>
  <si>
    <t>J1</t>
  </si>
  <si>
    <t>J2</t>
  </si>
  <si>
    <t>J3</t>
  </si>
  <si>
    <t>J4</t>
  </si>
  <si>
    <t xml:space="preserve">Capacity Aid 3 Year Average Valuation Base [m*0.001]:    </t>
  </si>
  <si>
    <t xml:space="preserve">Capacity Aid 3 Year Average Valuation Base Median: </t>
  </si>
  <si>
    <t>Capacity Aid Ratio [(J2/J1)-1 if J1 &lt; J2 &lt; Min 0.0 &amp; Max 2.5&gt;]:</t>
  </si>
  <si>
    <t>Average Formula ADM for Districts only if J1 &lt; J2:</t>
  </si>
  <si>
    <t>K-</t>
  </si>
  <si>
    <t>Graduation Bonus:</t>
  </si>
  <si>
    <t>L-</t>
  </si>
  <si>
    <t>Third Grade Reading Bonus:</t>
  </si>
  <si>
    <t>Total Foundation Funding Before Guarantee [A+B+C+D+E+F+G+H+I+J+K+L]:    …………………………………</t>
  </si>
  <si>
    <r>
      <rPr>
        <b/>
        <sz val="11"/>
        <rFont val="Calibri"/>
        <family val="2"/>
      </rPr>
      <t>©</t>
    </r>
    <r>
      <rPr>
        <b/>
        <sz val="11"/>
        <rFont val="Arial"/>
        <family val="2"/>
      </rPr>
      <t xml:space="preserve"> K-12 Business Consulting, Inc</t>
    </r>
  </si>
  <si>
    <t>Net Formula ADM [a6-(e4*0.75)-e5-e7-(e8-e3)-e9]:   ………………………………………………………………………………</t>
  </si>
  <si>
    <t>3 Year Average adjusted value (V4-V8)</t>
  </si>
  <si>
    <t>District Local Wealth Per Pupil [((i/a6)*0.5)+((f/a6)*0.5)]:  ………………………………………….</t>
  </si>
  <si>
    <t>Statewide Threshold Local Wealth Per Pupil [490th  Observation Value]:   ……..…………….</t>
  </si>
  <si>
    <t>Make ADM Adjustments Here ---&gt;&gt;&gt;</t>
  </si>
  <si>
    <t>e3</t>
  </si>
  <si>
    <t>e6</t>
  </si>
  <si>
    <t>e7</t>
  </si>
  <si>
    <t>e8</t>
  </si>
  <si>
    <t>i2</t>
  </si>
  <si>
    <t>Federal Adjusted Gross Income TY13</t>
  </si>
  <si>
    <t>3-Year Average Federal Adjusted Gross Income [(I2+I3+I4)/3]]:</t>
  </si>
  <si>
    <t>Income Index</t>
  </si>
  <si>
    <t>n</t>
  </si>
  <si>
    <t xml:space="preserve">Graduation Bonus Factors (Based on FY15 Report Card Data) </t>
  </si>
  <si>
    <t>n1</t>
  </si>
  <si>
    <t xml:space="preserve">4 Year Adjusted Graduation Rate                                                                                        </t>
  </si>
  <si>
    <t>n2</t>
  </si>
  <si>
    <t xml:space="preserve"># of Graduates                                                                                                        </t>
  </si>
  <si>
    <t>o</t>
  </si>
  <si>
    <t xml:space="preserve">3rd Grade Reading Proficiency Bonus Factors (Based on FY15 Report Card Data)  </t>
  </si>
  <si>
    <t>o1</t>
  </si>
  <si>
    <t xml:space="preserve">3rd Grade Reading Proficiency Rate                                                                                      </t>
  </si>
  <si>
    <t>o2</t>
  </si>
  <si>
    <t xml:space="preserve"># of Students Scoring Proficient or Higher on 3rd Grade Reading Test                                                    </t>
  </si>
  <si>
    <t>G1</t>
  </si>
  <si>
    <t>Type 1 &amp; 2 Transportation Funding:</t>
  </si>
  <si>
    <t>G2</t>
  </si>
  <si>
    <t>Other Transportation Funding:</t>
  </si>
  <si>
    <t>G3</t>
  </si>
  <si>
    <t>Community School Transportation Funding:</t>
  </si>
  <si>
    <t>G4</t>
  </si>
  <si>
    <t>Supplemental Transportation Funding:</t>
  </si>
  <si>
    <t>N</t>
  </si>
  <si>
    <t>Total State Funding</t>
  </si>
  <si>
    <t>Put Estimated CAP Increase Here ----&gt;&gt;&gt;&gt;</t>
  </si>
  <si>
    <t>TPP Test SB208 @ 96%</t>
  </si>
  <si>
    <t>IF Test is Negative then NO TPP Supplemental Payments &gt;&gt;&gt;&gt;&gt;&gt;&gt;&gt;</t>
  </si>
  <si>
    <t>Ending Cash Balance in True Cash Days</t>
  </si>
  <si>
    <t>True Cash Days</t>
  </si>
  <si>
    <t>Total Expenditure</t>
  </si>
  <si>
    <t>Unencumbered Cash</t>
  </si>
  <si>
    <t>60 Day Cash Ratio</t>
  </si>
  <si>
    <t>TAX YEAR2020</t>
  </si>
  <si>
    <t>COLLECT 2021</t>
  </si>
  <si>
    <t xml:space="preserve">Revised </t>
  </si>
  <si>
    <t>l</t>
  </si>
  <si>
    <t>Total Funding Including Gurantee [M+O]:  ………….………………………………………….……………………………………</t>
  </si>
  <si>
    <t>Q</t>
  </si>
  <si>
    <t>R</t>
  </si>
  <si>
    <t>Revisions to the May Forecast</t>
  </si>
  <si>
    <t>February settlement was less than in previous years. The deliquencies should be recovered in the fall.</t>
  </si>
  <si>
    <t xml:space="preserve">2.  School Distrcit Income Tax (Lines 1.03)  </t>
  </si>
  <si>
    <t>the most current state foundation formula and ADM.  State revenue reflects $5,900 per pupil</t>
  </si>
  <si>
    <t xml:space="preserve">FY16 and $6,000 per pupil FY17 per HB 64.  Collections falling due to increasing AV's and </t>
  </si>
  <si>
    <t>decreasing state share index.  Projecting (10) ADM drop each year.</t>
  </si>
  <si>
    <t>and TPP Fixed Sum in FY18</t>
  </si>
  <si>
    <t>5.  Other revenues - increase in Open enrollment studnets</t>
  </si>
  <si>
    <t>6.  Wages  increase in actual for FY15, no change is for the remainder of the forecast at this time.</t>
  </si>
  <si>
    <t>7.  Fringe Benefits  - actual for changes in FY15</t>
  </si>
  <si>
    <t>9.  Change to transfers out  - used actual in FY15</t>
  </si>
  <si>
    <t xml:space="preserve">General Property Taxes </t>
  </si>
  <si>
    <t>Subtotal Changes in Res/Ag Value</t>
  </si>
  <si>
    <t>Subtotal Changes in Comm/Ind Value</t>
  </si>
  <si>
    <t xml:space="preserve">Five Year </t>
  </si>
  <si>
    <t>Check figure</t>
  </si>
  <si>
    <t>Revenue Without Renewal</t>
  </si>
  <si>
    <t>Ending Cash Balances Without Levy</t>
  </si>
  <si>
    <t>TAX YEAR2021</t>
  </si>
  <si>
    <t>COLLECT 2022</t>
  </si>
  <si>
    <t>Change to actual Fund Balance</t>
  </si>
  <si>
    <t>QSCB for phase II HB 264 project includes principal of $65,000 each year through FY26.</t>
  </si>
  <si>
    <t>School Funding Payment Report (SFPR) Simulation Fiscal Year 20189</t>
  </si>
  <si>
    <t>Final #3 12/14/17</t>
  </si>
  <si>
    <t>─</t>
  </si>
  <si>
    <t>Statewide Formula ADM FY18:    ……………………………………………………………………………………………</t>
  </si>
  <si>
    <t>Statewide Formula ADM FY17:   …………………………………………………………………………………………………………………….……………..</t>
  </si>
  <si>
    <t>Statewide Median Income FY15:  ……………………………………………………………………………………………………………….…………………</t>
  </si>
  <si>
    <t>Statewide 3 Year Average Valuation:   TY16+TY15+TY14/3……………………………………………………………………………………………....……</t>
  </si>
  <si>
    <t>Statewide Total ADM FY17:    ……………………………………………………………………………………………</t>
  </si>
  <si>
    <t>Statewide 3 Year Avg. Fed. Adj. Gross Income (TY15+14+13/3): ……………………………………………………</t>
  </si>
  <si>
    <t>Federal Adjusted Gross Income TY15</t>
  </si>
  <si>
    <t>Federal Adjusted Gross Income TY14</t>
  </si>
  <si>
    <t>Category 1 Funding [b1*$1,578*j]:   ……………………………………………………………....………..</t>
  </si>
  <si>
    <t>Category 2 Funding [b2*$4005*j]:   ……………………………………………………………..…………..</t>
  </si>
  <si>
    <t>Category 3 Funding [b3*$9,622*j]:   …………………………………………………………………………..</t>
  </si>
  <si>
    <t>Category 4 Funding [b4*$12,841*j]:   …………………………………………………………………………</t>
  </si>
  <si>
    <t>Category 5 Funding [b5*$17,390*j]:   ………………………………………………….………….…………</t>
  </si>
  <si>
    <t>Category 6 Funding [b6*$25,637*j]:   ………………………………………………………………………..</t>
  </si>
  <si>
    <t>Category 1 Funding [c1*$5,192*j]:   ……………………………………………………………..…………..</t>
  </si>
  <si>
    <t>Category 2 Funding [c2*$4,921*j]:   ……………………………………………………………………..……</t>
  </si>
  <si>
    <t>Category 3 Funding [c3*$1,795*j]:   …………………………………………………………………………..</t>
  </si>
  <si>
    <t>Category 4 Funding [c4*$1,525*j]:   …………………………………………………………………………..</t>
  </si>
  <si>
    <t>Category 5 Funding [c5*$1,308*j]:   …………………………………………………………………………..</t>
  </si>
  <si>
    <t xml:space="preserve">Capacity Aid [(J2/J4)*a6*4*J3]:                                                                                          </t>
  </si>
  <si>
    <t>Funding Guarantee Base [FY17 Total State Funding - CTE] CTE Funding Guaranted Seperately</t>
  </si>
  <si>
    <t>Transitional Aid Guarantee [if N&gt;M then N-M else 0]   Unless ADM decreased 5% or more in FY14-16 then scaled back</t>
  </si>
  <si>
    <t>Cap Limit [N*1.03]:   Unless Adm growth &gt;3% then scaled upto 5.5% in FY18 and 6% in FY19 HB49</t>
  </si>
  <si>
    <t>HB49 Funding Components&gt;&gt;&gt; Available to CAP and Formula Districts&gt;&gt;&gt;NOT GUARANTEE DISTRICTS</t>
  </si>
  <si>
    <t>Transportation Supplement - Inside Cap In FY18 &amp; FY19</t>
  </si>
  <si>
    <t>Capacity Aid - Inside Cap in FY18 &amp; FY19</t>
  </si>
  <si>
    <t>Graduation Bonus - Outside Cap HB49</t>
  </si>
  <si>
    <t>3rd Grade Reading Bonus- Outside Cap HB49</t>
  </si>
  <si>
    <t xml:space="preserve">Component Funding  </t>
  </si>
  <si>
    <t xml:space="preserve">TPP Supplement Guarantee  </t>
  </si>
  <si>
    <t xml:space="preserve">  February Delq</t>
  </si>
  <si>
    <t xml:space="preserve">  August Delq</t>
  </si>
  <si>
    <t>Substitutes</t>
  </si>
  <si>
    <t>Supplementals</t>
  </si>
  <si>
    <t>Textbooks</t>
  </si>
  <si>
    <t>Building Maintenance</t>
  </si>
  <si>
    <t>Transportation</t>
  </si>
  <si>
    <t xml:space="preserve">  Property tax- Renewal</t>
  </si>
  <si>
    <t xml:space="preserve">  Property Tax Renewal </t>
  </si>
  <si>
    <t xml:space="preserve">  Income tax -2025</t>
  </si>
  <si>
    <t>Act. 2016</t>
  </si>
  <si>
    <t>Act. 2017</t>
  </si>
  <si>
    <t xml:space="preserve">have received reimbursements and can repay the General Fund.  </t>
  </si>
  <si>
    <t>.</t>
  </si>
  <si>
    <t>Guarantee</t>
  </si>
  <si>
    <t>Version -1 Date: 3/30/18</t>
  </si>
  <si>
    <t>Enter Estimated Per Pupil Funding Adjustment for FY20-22-------&gt;&gt;&gt;&gt;&gt;&gt;&gt;&gt;&gt;&gt;&gt;&gt;</t>
  </si>
  <si>
    <t>Opportunity Grant [$6,010*(a6+e3)*j]:   ………………………………………………………………………………</t>
  </si>
  <si>
    <t xml:space="preserve">  August Settlement PUPP</t>
  </si>
  <si>
    <t xml:space="preserve">  February Settlement PUPP</t>
  </si>
  <si>
    <t xml:space="preserve">Estimated TPP &amp; PUPP Tax Revenue  </t>
  </si>
  <si>
    <t>Public Utility Personal Property (Line#1.020)</t>
  </si>
  <si>
    <t>Kindergarten -ADM count</t>
  </si>
  <si>
    <t>Grades -ADM count</t>
  </si>
  <si>
    <t>TAX YEAR2022</t>
  </si>
  <si>
    <t>COLLECT 2023</t>
  </si>
  <si>
    <t>Final #1</t>
  </si>
  <si>
    <t>School District Income Tax</t>
  </si>
  <si>
    <t>Summary of State Foundation Revenues</t>
  </si>
  <si>
    <t>Act. 2018</t>
  </si>
  <si>
    <t>937-325-7615 ext 1010</t>
  </si>
  <si>
    <t>May 2019</t>
  </si>
  <si>
    <t>TAX YEAR2023</t>
  </si>
  <si>
    <t>COLLECT 2024</t>
  </si>
  <si>
    <t>Jun19 #2</t>
  </si>
  <si>
    <t>CSV match Revenues</t>
  </si>
  <si>
    <t>Total Revenue</t>
  </si>
  <si>
    <t>Expenditure</t>
  </si>
  <si>
    <t>Excess Deficit</t>
  </si>
  <si>
    <t>Total Operating Levies - Floor</t>
  </si>
  <si>
    <t>Current Expense (__)No Rollback</t>
  </si>
  <si>
    <t>Total Operating Levy No Rollback</t>
  </si>
  <si>
    <t>Total Emergency with Rollback</t>
  </si>
  <si>
    <t>Emergency Levy ($2,000,000) No Rollback</t>
  </si>
  <si>
    <t>Emergency Levy (insert dollar amount) No Rollback</t>
  </si>
  <si>
    <t>Total Emergency/Substitute No Rollback</t>
  </si>
  <si>
    <t>Total Operating Levy  - Floor</t>
  </si>
  <si>
    <t>General Fund Levies (Effective Tax Rates - Class II)</t>
  </si>
  <si>
    <t>Tax Rev. Est  Non Rollback Levy Res/Ag CY</t>
  </si>
  <si>
    <t>Act. 2019</t>
  </si>
  <si>
    <t>TAX YEAR2024</t>
  </si>
  <si>
    <t>COLLECT 2025</t>
  </si>
  <si>
    <t>COLLECT2020</t>
  </si>
  <si>
    <t>County Auditor &amp; Treasurer Fees</t>
  </si>
  <si>
    <t>Emergency Levy No Rollback</t>
  </si>
  <si>
    <t>Emergency ($)</t>
  </si>
  <si>
    <t>Total All Property Value</t>
  </si>
  <si>
    <t>Emergency Levy ($) No Rollback</t>
  </si>
  <si>
    <t>Richland</t>
  </si>
  <si>
    <t>Madison Local School District</t>
  </si>
  <si>
    <t>Robin Klenk, Treasurer</t>
  </si>
  <si>
    <t>Madison Local SD</t>
  </si>
  <si>
    <t>Current Expense 1977</t>
  </si>
  <si>
    <t>Current Expense 1980</t>
  </si>
  <si>
    <t>Current Expense 1985</t>
  </si>
  <si>
    <t>Current Expense 1992</t>
  </si>
  <si>
    <t>Current Expense 1997</t>
  </si>
  <si>
    <t>Avg Chg</t>
  </si>
  <si>
    <t>Sale of Fixed Assets</t>
  </si>
  <si>
    <t>Total All Other Financial Sources Line #2.060</t>
  </si>
  <si>
    <t xml:space="preserve">Tuition - SF-14, SF-14H, Excess </t>
  </si>
  <si>
    <t>Manufactured Homes</t>
  </si>
  <si>
    <t>Preschool &amp; Auxiliary Fee</t>
  </si>
  <si>
    <t>Medicaid Reimbursement</t>
  </si>
  <si>
    <t>Increases</t>
  </si>
  <si>
    <t>All Staff - Steps and Training</t>
  </si>
  <si>
    <t>Staff Increases/Reductions</t>
  </si>
  <si>
    <t>Overtime and Stipends</t>
  </si>
  <si>
    <t>Severance</t>
  </si>
  <si>
    <t>Board of Education</t>
  </si>
  <si>
    <t>Average Steps</t>
  </si>
  <si>
    <t>Substitutes Increase</t>
  </si>
  <si>
    <t>Supplemental Increase</t>
  </si>
  <si>
    <t>Increases/Steps</t>
  </si>
  <si>
    <t>Substitutes/Supplemental</t>
  </si>
  <si>
    <t>Overtime/Stipends</t>
  </si>
  <si>
    <t>Average Pension</t>
  </si>
  <si>
    <t>Regular Pension</t>
  </si>
  <si>
    <t>Staff Increases</t>
  </si>
  <si>
    <t>WC Rate</t>
  </si>
  <si>
    <t>Average Rate</t>
  </si>
  <si>
    <t>Subs/Supplemental/Board/OT</t>
  </si>
  <si>
    <t>Rate Increase/Steps</t>
  </si>
  <si>
    <t>Annuities/Uniform/Meeting</t>
  </si>
  <si>
    <t>Phone Service and Postage</t>
  </si>
  <si>
    <t>Equipment</t>
  </si>
  <si>
    <t>Technical Equipment</t>
  </si>
  <si>
    <t>Replacement Buses</t>
  </si>
  <si>
    <t>Software and Subscriptions</t>
  </si>
  <si>
    <t>Annual Audit</t>
  </si>
  <si>
    <t xml:space="preserve">   10% Rollback</t>
  </si>
  <si>
    <t xml:space="preserve">   2.5% Rollback</t>
  </si>
  <si>
    <t xml:space="preserve">  Homestead</t>
  </si>
  <si>
    <t xml:space="preserve">are for your purposes only. Only update Yellow cells, do not add rows. If you need to add rows, your forecaster will help. </t>
  </si>
  <si>
    <t>Building Maintenance Repairs</t>
  </si>
  <si>
    <t>Other Tuition Including Ed Scholarship</t>
  </si>
  <si>
    <t>FY24</t>
  </si>
  <si>
    <t>FY25</t>
  </si>
  <si>
    <t>2nd Half</t>
  </si>
  <si>
    <t>1st Half</t>
  </si>
  <si>
    <t>Delinquent</t>
  </si>
  <si>
    <t>Levy Renewal</t>
  </si>
  <si>
    <t xml:space="preserve">PD ond Other Misc. </t>
  </si>
  <si>
    <t>Company</t>
  </si>
  <si>
    <t>Gorman Rupp</t>
  </si>
  <si>
    <t>Skybox</t>
  </si>
  <si>
    <t>Alan &amp; Donna Vasu</t>
  </si>
  <si>
    <t>K-Cinco LLC.</t>
  </si>
  <si>
    <t>Mansfield Real Estate</t>
  </si>
  <si>
    <t>Tyger Investment Properties Inc.</t>
  </si>
  <si>
    <t>Sunrise Hospitality</t>
  </si>
  <si>
    <t>Pagman 1111</t>
  </si>
  <si>
    <t>Fanello Development Company, LLC.</t>
  </si>
  <si>
    <t>FY27</t>
  </si>
  <si>
    <t>DayCare Rental</t>
  </si>
  <si>
    <t>Vocational Marketing</t>
  </si>
  <si>
    <t xml:space="preserve">law. </t>
  </si>
  <si>
    <t>Certified 6.75% Pickup. Classified 4% Pickup. Admin/Non-Rep 100% Pickup</t>
  </si>
  <si>
    <t>ESC and Professional Support</t>
  </si>
  <si>
    <t>FY26</t>
  </si>
  <si>
    <t>FY28</t>
  </si>
  <si>
    <t>Renew 6.9 mill levy at 3.7 mills 2022</t>
  </si>
  <si>
    <t>Total Property Tax Allocations  #1.050</t>
  </si>
  <si>
    <t>a) Rollback and Homestead</t>
  </si>
  <si>
    <t>TIF Payments</t>
  </si>
  <si>
    <t>Newman Technology Inc</t>
  </si>
  <si>
    <t>Unfunded Recapture</t>
  </si>
  <si>
    <t>BWC</t>
  </si>
  <si>
    <t>For the Fiscal Years Ended June 30, 2018, 2019 and 2020 Actual;</t>
  </si>
  <si>
    <t>Forecasted Fiscal Years Ending June 30, 2021 Through 2025</t>
  </si>
  <si>
    <t>ADM Forecasts</t>
  </si>
  <si>
    <t xml:space="preserve">  Kindergarten - October Count</t>
  </si>
  <si>
    <t xml:space="preserve">  Grades 1-12 - October Count</t>
  </si>
  <si>
    <t>State Fiscal Stabilization Funds</t>
  </si>
  <si>
    <t xml:space="preserve">  Personal Services SFSF</t>
  </si>
  <si>
    <t xml:space="preserve">  Employees Retirement/Insurance Benefits SFSF</t>
  </si>
  <si>
    <t xml:space="preserve">  Purchased Services SFSF</t>
  </si>
  <si>
    <t xml:space="preserve">  Supplies and Materials SFSF</t>
  </si>
  <si>
    <t xml:space="preserve">  Capital Outlay SFSF</t>
  </si>
  <si>
    <t>Total Expenditures - SFSF</t>
  </si>
  <si>
    <t>See accompanying summary of significant forecast assumptions and accounting policies</t>
  </si>
  <si>
    <t>Includes:  General fund, Emergency Levy fund, DPIA fund, Textbook fund and any portion of Debt Service fund related to General fund debt</t>
  </si>
  <si>
    <t>Public Utility Personal Property Tax</t>
  </si>
  <si>
    <t>Restricted Federal Grants In Aid</t>
  </si>
  <si>
    <t>Section 7  OTHER LOCAL REVENUES - LINE #1.060</t>
  </si>
  <si>
    <t>Section 5 - STATE FOUNDATION REVENUE ESTIMATES</t>
  </si>
  <si>
    <t>Total Transfer &amp; Advances Out</t>
  </si>
  <si>
    <t>Total Other Expenses Line #4.300</t>
  </si>
  <si>
    <t>Act./Est. Total % Increase/(Decrease) Year over Year</t>
  </si>
  <si>
    <t>Total Supplies Line #3.040</t>
  </si>
  <si>
    <t>Total Purchased Services Line #3.030</t>
  </si>
  <si>
    <t>Act./Est. Total Increase/(Decrease) Year over Year</t>
  </si>
  <si>
    <t>Total Fringe Benefits Line #3.020</t>
  </si>
  <si>
    <t>FB as a % of Wages (less Severance)</t>
  </si>
  <si>
    <t>Act./Est. Total % Increase Year over Year</t>
  </si>
  <si>
    <t xml:space="preserve">Percent Trend Increase </t>
  </si>
  <si>
    <t>Health Ins. as % of Wages</t>
  </si>
  <si>
    <t>Base Rate Increase</t>
  </si>
  <si>
    <t>Total Wage Increase Year over Year</t>
  </si>
  <si>
    <t>Total Other Local Revenue Line #1.060</t>
  </si>
  <si>
    <t>Actual Total Tax Increase/Decrease Year over Year</t>
  </si>
  <si>
    <t>Actual Total AV Increase/(Decrease) Year over Year</t>
  </si>
  <si>
    <t>True Days Cash Line 59</t>
  </si>
  <si>
    <t>True Days Unencumbered Cash Line 91</t>
  </si>
  <si>
    <t>Millage equivalent for deficit spending</t>
  </si>
  <si>
    <t>Includes:  General fund, Emergency Levy fund,  and any portion of Debt Service fund related to General fund debt</t>
  </si>
  <si>
    <t>©K-12 Business Consulting, Inc.</t>
  </si>
  <si>
    <t>Act. 2020</t>
  </si>
  <si>
    <t>COLLECT2021</t>
  </si>
  <si>
    <t>Total FY Collection RE/R&amp;H/PUPP/Del.</t>
  </si>
  <si>
    <t>Calendar Year Gross</t>
  </si>
  <si>
    <t>Cal. Year to FY Collection Rate</t>
  </si>
  <si>
    <t>Estimated CY over CY Increase Gross $$</t>
  </si>
  <si>
    <t>% Increase/(Decrease) in Total Assessed Values</t>
  </si>
  <si>
    <t>% Increase/(Decrease) in Class II AV</t>
  </si>
  <si>
    <t>% Increase/(Decrease) in Class I &amp; II AV</t>
  </si>
  <si>
    <t>% Increase/(Decrease) in Class I AV</t>
  </si>
  <si>
    <t>Average annual revenue growth</t>
  </si>
  <si>
    <t>Average annual expense growth</t>
  </si>
  <si>
    <t>FY 21</t>
  </si>
  <si>
    <t>Est 2020</t>
  </si>
  <si>
    <t>2021</t>
  </si>
  <si>
    <t>FY Ending</t>
  </si>
  <si>
    <t>Total Payment</t>
  </si>
  <si>
    <t>Expiring Payments</t>
  </si>
  <si>
    <t>New Payments</t>
  </si>
  <si>
    <t>Other SF-6, SF-14, SF-14H, CCP, Scholarship</t>
  </si>
  <si>
    <t>Student Fees, Fines, Other Income</t>
  </si>
  <si>
    <t>Health Insurance</t>
  </si>
  <si>
    <t>TAX YEAR 2025</t>
  </si>
  <si>
    <t>COLLECT 2026</t>
  </si>
  <si>
    <t>DPIA</t>
  </si>
  <si>
    <t>Career Tech - Restricted</t>
  </si>
  <si>
    <t>Gifted</t>
  </si>
  <si>
    <t>ESL</t>
  </si>
  <si>
    <t>New 6.9 mill levy in FY23</t>
  </si>
  <si>
    <t>Revenue W/Renewal and New</t>
  </si>
  <si>
    <t>Airport West I - 15 yr starts in FY22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</si>
</sst>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 #,##0_);\(&quot;$&quot;#,##0\)"/>
    <numFmt numFmtId="165" formatCode="#,##0_);\(&quot;$&quot;#,##0\)"/>
    <numFmt numFmtId="166" formatCode="&quot;$&quot;#,##0"/>
    <numFmt numFmtId="167" formatCode="mmmm\ d\,\ yyyy"/>
    <numFmt numFmtId="168" formatCode="0.0%"/>
    <numFmt numFmtId="169" formatCode="&quot;$&quot;#,##0.00"/>
    <numFmt numFmtId="170" formatCode="#,##0.000"/>
    <numFmt numFmtId="171" formatCode="&quot;$&quot;#,##0\ ;\(&quot;$&quot;#,##0\)"/>
    <numFmt numFmtId="172" formatCode="#,##0.000_);\(#,##0.000\)"/>
    <numFmt numFmtId="173" formatCode="0.000%"/>
    <numFmt numFmtId="174" formatCode="#,##0.0000_);\(#,##0.0000\)"/>
    <numFmt numFmtId="175" formatCode="0.00000_);[Red]\(0.00000\)"/>
    <numFmt numFmtId="176" formatCode="0.00000"/>
    <numFmt numFmtId="177" formatCode="0_);\(0\)"/>
    <numFmt numFmtId="178" formatCode="0.0"/>
    <numFmt numFmtId="179" formatCode="#,##0.000000"/>
    <numFmt numFmtId="180" formatCode="&quot;$&quot;#,###"/>
    <numFmt numFmtId="181" formatCode="[$-409]mmmm\-yy;@"/>
    <numFmt numFmtId="182" formatCode="0.00_);[Red]\(0.00\)"/>
    <numFmt numFmtId="183" formatCode="0.000000000"/>
    <numFmt numFmtId="184" formatCode="_(* #,##0_);_(* \(#,##0\);_(* &quot;-&quot;??_);_(@_)"/>
    <numFmt numFmtId="185" formatCode="0.0_);[Red]\(0.0\)"/>
    <numFmt numFmtId="186" formatCode="0.000000%"/>
    <numFmt numFmtId="187" formatCode="#,##0.00000000_);\(#,##0.00000000\)"/>
    <numFmt numFmtId="188" formatCode="_(&quot;$&quot;* #,##0_);_(&quot;$&quot;* \(#,##0\);_(&quot;$&quot;* &quot;-&quot;??_);_(@_)"/>
    <numFmt numFmtId="189" formatCode="0.0000%"/>
    <numFmt numFmtId="190" formatCode="&quot;$&quot;#,##0.0000000000_);\(&quot;$&quot;#,##0.0000000000\)"/>
    <numFmt numFmtId="191" formatCode="#,##0_);[Red]#,##0\-"/>
    <numFmt numFmtId="192" formatCode="0.000"/>
    <numFmt numFmtId="193" formatCode="_(* #,##0.0_);_(* \(#,##0.0\);_(* &quot;-&quot;??_);_(@_)"/>
  </numFmts>
  <fonts count="204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name val="Geneva"/>
    </font>
    <font>
      <sz val="10"/>
      <name val="Times"/>
      <family val="1"/>
    </font>
    <font>
      <b/>
      <sz val="12"/>
      <name val="Times"/>
      <family val="1"/>
    </font>
    <font>
      <sz val="12"/>
      <name val="Times"/>
      <family val="1"/>
    </font>
    <font>
      <sz val="10"/>
      <name val="Arial"/>
      <family val="2"/>
    </font>
    <font>
      <sz val="12"/>
      <color indexed="8"/>
      <name val="Calibri"/>
      <family val="2"/>
    </font>
    <font>
      <sz val="10"/>
      <name val="Arial Narrow"/>
      <family val="2"/>
    </font>
    <font>
      <sz val="10"/>
      <name val="Cambria"/>
      <family val="1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10"/>
      <name val="Times New Roman"/>
      <family val="1"/>
    </font>
    <font>
      <sz val="11"/>
      <name val="Arial Narrow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2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b/>
      <sz val="18"/>
      <name val="Geneva"/>
    </font>
    <font>
      <sz val="18"/>
      <color indexed="10"/>
      <name val="Geneva"/>
    </font>
    <font>
      <sz val="18"/>
      <name val="Geneva"/>
    </font>
    <font>
      <sz val="8"/>
      <name val="Geneva"/>
    </font>
    <font>
      <sz val="11"/>
      <name val="Times New Roman"/>
      <family val="1"/>
    </font>
    <font>
      <sz val="11"/>
      <name val="Times New Roman"/>
      <family val="1"/>
    </font>
    <font>
      <sz val="12"/>
      <color indexed="8"/>
      <name val="Calibri"/>
      <family val="2"/>
    </font>
    <font>
      <sz val="12"/>
      <name val="Geneva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Geneva"/>
    </font>
    <font>
      <sz val="12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4"/>
      <name val="Times New Roman"/>
      <family val="1"/>
    </font>
    <font>
      <b/>
      <sz val="12"/>
      <name val="Geneva"/>
    </font>
    <font>
      <b/>
      <sz val="10"/>
      <name val="Geneva"/>
    </font>
    <font>
      <b/>
      <u/>
      <sz val="10"/>
      <name val="Geneva"/>
    </font>
    <font>
      <b/>
      <sz val="11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u val="doubleAccounting"/>
      <sz val="10"/>
      <name val="Arial"/>
      <family val="2"/>
    </font>
    <font>
      <u val="singleAccounting"/>
      <sz val="10"/>
      <name val="Geneva"/>
    </font>
    <font>
      <b/>
      <sz val="12"/>
      <color theme="1"/>
      <name val="Calibri"/>
      <family val="2"/>
      <scheme val="minor"/>
    </font>
    <font>
      <u/>
      <sz val="10"/>
      <name val="Geneva"/>
    </font>
    <font>
      <b/>
      <sz val="18"/>
      <color theme="3"/>
      <name val="Cambria"/>
      <family val="2"/>
      <scheme val="major"/>
    </font>
    <font>
      <sz val="12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name val="Arial"/>
      <family val="2"/>
    </font>
    <font>
      <b/>
      <sz val="11"/>
      <name val="Calibri"/>
      <family val="2"/>
    </font>
    <font>
      <b/>
      <sz val="8.25"/>
      <name val="Arial"/>
      <family val="2"/>
    </font>
    <font>
      <sz val="10"/>
      <name val="Verdana"/>
      <family val="2"/>
    </font>
    <font>
      <u/>
      <sz val="12"/>
      <color theme="10"/>
      <name val="Calibri"/>
      <family val="2"/>
    </font>
    <font>
      <b/>
      <u/>
      <sz val="18"/>
      <name val="Geneva"/>
    </font>
    <font>
      <sz val="16"/>
      <name val="Geneva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.5"/>
      <name val="Calibri"/>
      <family val="2"/>
    </font>
    <font>
      <sz val="11"/>
      <color theme="1"/>
      <name val="Calibri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2"/>
      <name val="Arial MT"/>
    </font>
    <font>
      <sz val="12"/>
      <color theme="1"/>
      <name val="Arial Narrow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sz val="11"/>
      <color theme="0"/>
      <name val="Calibri"/>
      <family val="2"/>
    </font>
    <font>
      <sz val="10"/>
      <name val="MS Sans Serif"/>
      <family val="2"/>
    </font>
    <font>
      <u/>
      <sz val="11"/>
      <color theme="10"/>
      <name val="Calibri"/>
      <family val="2"/>
    </font>
    <font>
      <b/>
      <sz val="10.5"/>
      <name val="Calibri"/>
      <family val="2"/>
    </font>
    <font>
      <sz val="16"/>
      <color indexed="8"/>
      <name val="Calibri"/>
      <family val="2"/>
    </font>
    <font>
      <u val="doubleAccounting"/>
      <sz val="10"/>
      <name val="Geneva"/>
    </font>
    <font>
      <u/>
      <sz val="11"/>
      <name val="Geneva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name val="Geneva"/>
    </font>
    <font>
      <sz val="24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6"/>
      <name val="Arial"/>
      <family val="2"/>
    </font>
    <font>
      <b/>
      <sz val="11"/>
      <name val="Times  "/>
    </font>
    <font>
      <sz val="11"/>
      <name val="Times  "/>
    </font>
    <font>
      <b/>
      <u/>
      <sz val="11"/>
      <name val="Times  "/>
    </font>
    <font>
      <u/>
      <sz val="11"/>
      <name val="Times  "/>
    </font>
    <font>
      <u val="doubleAccounting"/>
      <sz val="11"/>
      <name val="Times  "/>
    </font>
    <font>
      <u val="singleAccounting"/>
      <sz val="11"/>
      <name val="Times  "/>
    </font>
    <font>
      <u val="double"/>
      <sz val="11"/>
      <name val="Times  "/>
    </font>
    <font>
      <sz val="11"/>
      <color indexed="10"/>
      <name val="Times  "/>
    </font>
    <font>
      <u/>
      <sz val="20"/>
      <color indexed="8"/>
      <name val="Calibri"/>
      <family val="2"/>
    </font>
    <font>
      <u/>
      <sz val="11"/>
      <color indexed="8"/>
      <name val="Calibri"/>
      <family val="2"/>
    </font>
    <font>
      <u val="double"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name val="Times New Roman"/>
      <family val="1"/>
    </font>
    <font>
      <b/>
      <u/>
      <sz val="18"/>
      <name val="Arial"/>
      <family val="2"/>
    </font>
    <font>
      <b/>
      <u/>
      <sz val="16"/>
      <name val="Arial"/>
      <family val="2"/>
    </font>
    <font>
      <i/>
      <sz val="12"/>
      <name val="Geneva"/>
    </font>
    <font>
      <u/>
      <sz val="11"/>
      <name val="Times New Roman"/>
      <family val="1"/>
    </font>
    <font>
      <u val="double"/>
      <sz val="11"/>
      <name val="Times New Roman"/>
      <family val="1"/>
    </font>
    <font>
      <b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Times New Roman"/>
      <family val="1"/>
    </font>
    <font>
      <sz val="18"/>
      <name val="Arial"/>
      <family val="2"/>
    </font>
    <font>
      <sz val="11"/>
      <name val="Geneva"/>
    </font>
    <font>
      <b/>
      <sz val="12"/>
      <color rgb="FFFF0000"/>
      <name val="Arial"/>
      <family val="2"/>
    </font>
    <font>
      <sz val="12"/>
      <name val="Arial Narrow"/>
      <family val="2"/>
    </font>
    <font>
      <i/>
      <sz val="12"/>
      <name val="Arial"/>
      <family val="2"/>
    </font>
    <font>
      <b/>
      <sz val="10"/>
      <name val="Times  "/>
    </font>
    <font>
      <i/>
      <sz val="10"/>
      <name val="Times  "/>
    </font>
    <font>
      <sz val="10"/>
      <name val="Times  "/>
    </font>
    <font>
      <u val="doubleAccounting"/>
      <sz val="10"/>
      <name val="Times  "/>
    </font>
    <font>
      <sz val="9"/>
      <name val="Times  "/>
    </font>
    <font>
      <i/>
      <u val="doubleAccounting"/>
      <sz val="10"/>
      <name val="Times  "/>
    </font>
    <font>
      <i/>
      <sz val="1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8D304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C0C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27909">
    <xf numFmtId="0" fontId="0" fillId="0" borderId="0"/>
    <xf numFmtId="0" fontId="61" fillId="30" borderId="0" applyNumberFormat="0" applyBorder="0" applyAlignment="0" applyProtection="0"/>
    <xf numFmtId="0" fontId="25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61" fillId="31" borderId="0" applyNumberFormat="0" applyBorder="0" applyAlignment="0" applyProtection="0"/>
    <xf numFmtId="0" fontId="25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61" fillId="32" borderId="0" applyNumberFormat="0" applyBorder="0" applyAlignment="0" applyProtection="0"/>
    <xf numFmtId="0" fontId="25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61" fillId="33" borderId="0" applyNumberFormat="0" applyBorder="0" applyAlignment="0" applyProtection="0"/>
    <xf numFmtId="0" fontId="25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61" fillId="34" borderId="0" applyNumberFormat="0" applyBorder="0" applyAlignment="0" applyProtection="0"/>
    <xf numFmtId="0" fontId="25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61" fillId="35" borderId="0" applyNumberFormat="0" applyBorder="0" applyAlignment="0" applyProtection="0"/>
    <xf numFmtId="0" fontId="25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61" fillId="36" borderId="0" applyNumberFormat="0" applyBorder="0" applyAlignment="0" applyProtection="0"/>
    <xf numFmtId="0" fontId="25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61" fillId="37" borderId="0" applyNumberFormat="0" applyBorder="0" applyAlignment="0" applyProtection="0"/>
    <xf numFmtId="0" fontId="25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61" fillId="38" borderId="0" applyNumberFormat="0" applyBorder="0" applyAlignment="0" applyProtection="0"/>
    <xf numFmtId="0" fontId="25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61" fillId="39" borderId="0" applyNumberFormat="0" applyBorder="0" applyAlignment="0" applyProtection="0"/>
    <xf numFmtId="0" fontId="25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61" fillId="40" borderId="0" applyNumberFormat="0" applyBorder="0" applyAlignment="0" applyProtection="0"/>
    <xf numFmtId="0" fontId="25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61" fillId="41" borderId="0" applyNumberFormat="0" applyBorder="0" applyAlignment="0" applyProtection="0"/>
    <xf numFmtId="0" fontId="25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62" fillId="42" borderId="0" applyNumberFormat="0" applyBorder="0" applyAlignment="0" applyProtection="0"/>
    <xf numFmtId="0" fontId="43" fillId="12" borderId="0" applyNumberFormat="0" applyBorder="0" applyAlignment="0" applyProtection="0"/>
    <xf numFmtId="0" fontId="62" fillId="43" borderId="0" applyNumberFormat="0" applyBorder="0" applyAlignment="0" applyProtection="0"/>
    <xf numFmtId="0" fontId="43" fillId="9" borderId="0" applyNumberFormat="0" applyBorder="0" applyAlignment="0" applyProtection="0"/>
    <xf numFmtId="0" fontId="62" fillId="44" borderId="0" applyNumberFormat="0" applyBorder="0" applyAlignment="0" applyProtection="0"/>
    <xf numFmtId="0" fontId="43" fillId="10" borderId="0" applyNumberFormat="0" applyBorder="0" applyAlignment="0" applyProtection="0"/>
    <xf numFmtId="0" fontId="62" fillId="45" borderId="0" applyNumberFormat="0" applyBorder="0" applyAlignment="0" applyProtection="0"/>
    <xf numFmtId="0" fontId="43" fillId="13" borderId="0" applyNumberFormat="0" applyBorder="0" applyAlignment="0" applyProtection="0"/>
    <xf numFmtId="0" fontId="62" fillId="46" borderId="0" applyNumberFormat="0" applyBorder="0" applyAlignment="0" applyProtection="0"/>
    <xf numFmtId="0" fontId="43" fillId="14" borderId="0" applyNumberFormat="0" applyBorder="0" applyAlignment="0" applyProtection="0"/>
    <xf numFmtId="0" fontId="62" fillId="47" borderId="0" applyNumberFormat="0" applyBorder="0" applyAlignment="0" applyProtection="0"/>
    <xf numFmtId="0" fontId="43" fillId="15" borderId="0" applyNumberFormat="0" applyBorder="0" applyAlignment="0" applyProtection="0"/>
    <xf numFmtId="0" fontId="62" fillId="48" borderId="0" applyNumberFormat="0" applyBorder="0" applyAlignment="0" applyProtection="0"/>
    <xf numFmtId="0" fontId="43" fillId="16" borderId="0" applyNumberFormat="0" applyBorder="0" applyAlignment="0" applyProtection="0"/>
    <xf numFmtId="0" fontId="62" fillId="49" borderId="0" applyNumberFormat="0" applyBorder="0" applyAlignment="0" applyProtection="0"/>
    <xf numFmtId="0" fontId="43" fillId="17" borderId="0" applyNumberFormat="0" applyBorder="0" applyAlignment="0" applyProtection="0"/>
    <xf numFmtId="0" fontId="62" fillId="50" borderId="0" applyNumberFormat="0" applyBorder="0" applyAlignment="0" applyProtection="0"/>
    <xf numFmtId="0" fontId="43" fillId="18" borderId="0" applyNumberFormat="0" applyBorder="0" applyAlignment="0" applyProtection="0"/>
    <xf numFmtId="0" fontId="62" fillId="51" borderId="0" applyNumberFormat="0" applyBorder="0" applyAlignment="0" applyProtection="0"/>
    <xf numFmtId="0" fontId="43" fillId="13" borderId="0" applyNumberFormat="0" applyBorder="0" applyAlignment="0" applyProtection="0"/>
    <xf numFmtId="0" fontId="62" fillId="52" borderId="0" applyNumberFormat="0" applyBorder="0" applyAlignment="0" applyProtection="0"/>
    <xf numFmtId="0" fontId="43" fillId="14" borderId="0" applyNumberFormat="0" applyBorder="0" applyAlignment="0" applyProtection="0"/>
    <xf numFmtId="0" fontId="62" fillId="53" borderId="0" applyNumberFormat="0" applyBorder="0" applyAlignment="0" applyProtection="0"/>
    <xf numFmtId="0" fontId="43" fillId="19" borderId="0" applyNumberFormat="0" applyBorder="0" applyAlignment="0" applyProtection="0"/>
    <xf numFmtId="0" fontId="63" fillId="54" borderId="0" applyNumberFormat="0" applyBorder="0" applyAlignment="0" applyProtection="0"/>
    <xf numFmtId="0" fontId="44" fillId="3" borderId="0" applyNumberFormat="0" applyBorder="0" applyAlignment="0" applyProtection="0"/>
    <xf numFmtId="0" fontId="64" fillId="55" borderId="32" applyNumberFormat="0" applyAlignment="0" applyProtection="0"/>
    <xf numFmtId="0" fontId="45" fillId="20" borderId="1" applyNumberFormat="0" applyAlignment="0" applyProtection="0"/>
    <xf numFmtId="0" fontId="65" fillId="56" borderId="33" applyNumberFormat="0" applyAlignment="0" applyProtection="0"/>
    <xf numFmtId="0" fontId="46" fillId="21" borderId="2" applyNumberFormat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2" fontId="24" fillId="0" borderId="0" applyFont="0" applyFill="0" applyBorder="0" applyAlignment="0" applyProtection="0"/>
    <xf numFmtId="0" fontId="67" fillId="57" borderId="0" applyNumberFormat="0" applyBorder="0" applyAlignment="0" applyProtection="0"/>
    <xf numFmtId="0" fontId="48" fillId="4" borderId="0" applyNumberFormat="0" applyBorder="0" applyAlignment="0" applyProtection="0"/>
    <xf numFmtId="0" fontId="68" fillId="0" borderId="34" applyNumberFormat="0" applyFill="0" applyAlignment="0" applyProtection="0"/>
    <xf numFmtId="0" fontId="34" fillId="0" borderId="0" applyNumberFormat="0" applyFont="0" applyFill="0" applyAlignment="0" applyProtection="0"/>
    <xf numFmtId="0" fontId="34" fillId="0" borderId="0" applyNumberFormat="0" applyFont="0" applyFill="0" applyAlignment="0" applyProtection="0"/>
    <xf numFmtId="0" fontId="34" fillId="0" borderId="0" applyNumberFormat="0" applyFont="0" applyFill="0" applyAlignment="0" applyProtection="0"/>
    <xf numFmtId="0" fontId="34" fillId="0" borderId="0" applyNumberFormat="0" applyFont="0" applyFill="0" applyAlignment="0" applyProtection="0"/>
    <xf numFmtId="0" fontId="34" fillId="0" borderId="0" applyNumberFormat="0" applyFont="0" applyFill="0" applyAlignment="0" applyProtection="0"/>
    <xf numFmtId="0" fontId="34" fillId="0" borderId="0" applyNumberFormat="0" applyFont="0" applyFill="0" applyAlignment="0" applyProtection="0"/>
    <xf numFmtId="0" fontId="34" fillId="0" borderId="0" applyNumberFormat="0" applyFont="0" applyFill="0" applyAlignment="0" applyProtection="0"/>
    <xf numFmtId="0" fontId="34" fillId="0" borderId="0" applyNumberFormat="0" applyFont="0" applyFill="0" applyAlignment="0" applyProtection="0"/>
    <xf numFmtId="0" fontId="34" fillId="0" borderId="0" applyNumberFormat="0" applyFont="0" applyFill="0" applyAlignment="0" applyProtection="0"/>
    <xf numFmtId="0" fontId="34" fillId="0" borderId="0" applyNumberFormat="0" applyFont="0" applyFill="0" applyAlignment="0" applyProtection="0"/>
    <xf numFmtId="0" fontId="34" fillId="0" borderId="0" applyNumberFormat="0" applyFont="0" applyFill="0" applyAlignment="0" applyProtection="0"/>
    <xf numFmtId="0" fontId="34" fillId="0" borderId="0" applyNumberFormat="0" applyFont="0" applyFill="0" applyAlignment="0" applyProtection="0"/>
    <xf numFmtId="0" fontId="34" fillId="0" borderId="0" applyNumberFormat="0" applyFont="0" applyFill="0" applyAlignment="0" applyProtection="0"/>
    <xf numFmtId="0" fontId="34" fillId="0" borderId="0" applyNumberFormat="0" applyFont="0" applyFill="0" applyAlignment="0" applyProtection="0"/>
    <xf numFmtId="0" fontId="34" fillId="0" borderId="0" applyNumberFormat="0" applyFont="0" applyFill="0" applyAlignment="0" applyProtection="0"/>
    <xf numFmtId="0" fontId="34" fillId="0" borderId="0" applyNumberFormat="0" applyFont="0" applyFill="0" applyAlignment="0" applyProtection="0"/>
    <xf numFmtId="0" fontId="34" fillId="0" borderId="0" applyNumberFormat="0" applyFont="0" applyFill="0" applyAlignment="0" applyProtection="0"/>
    <xf numFmtId="0" fontId="34" fillId="0" borderId="0" applyNumberFormat="0" applyFont="0" applyFill="0" applyAlignment="0" applyProtection="0"/>
    <xf numFmtId="0" fontId="39" fillId="0" borderId="3" applyNumberFormat="0" applyFill="0" applyAlignment="0" applyProtection="0"/>
    <xf numFmtId="0" fontId="69" fillId="0" borderId="35" applyNumberFormat="0" applyFill="0" applyAlignment="0" applyProtection="0"/>
    <xf numFmtId="0" fontId="35" fillId="0" borderId="0" applyNumberFormat="0" applyFont="0" applyFill="0" applyAlignment="0" applyProtection="0"/>
    <xf numFmtId="0" fontId="35" fillId="0" borderId="0" applyNumberFormat="0" applyFont="0" applyFill="0" applyAlignment="0" applyProtection="0"/>
    <xf numFmtId="0" fontId="35" fillId="0" borderId="0" applyNumberFormat="0" applyFont="0" applyFill="0" applyAlignment="0" applyProtection="0"/>
    <xf numFmtId="0" fontId="35" fillId="0" borderId="0" applyNumberFormat="0" applyFont="0" applyFill="0" applyAlignment="0" applyProtection="0"/>
    <xf numFmtId="0" fontId="35" fillId="0" borderId="0" applyNumberFormat="0" applyFont="0" applyFill="0" applyAlignment="0" applyProtection="0"/>
    <xf numFmtId="0" fontId="35" fillId="0" borderId="0" applyNumberFormat="0" applyFont="0" applyFill="0" applyAlignment="0" applyProtection="0"/>
    <xf numFmtId="0" fontId="35" fillId="0" borderId="0" applyNumberFormat="0" applyFont="0" applyFill="0" applyAlignment="0" applyProtection="0"/>
    <xf numFmtId="0" fontId="35" fillId="0" borderId="0" applyNumberFormat="0" applyFont="0" applyFill="0" applyAlignment="0" applyProtection="0"/>
    <xf numFmtId="0" fontId="35" fillId="0" borderId="0" applyNumberFormat="0" applyFont="0" applyFill="0" applyAlignment="0" applyProtection="0"/>
    <xf numFmtId="0" fontId="35" fillId="0" borderId="0" applyNumberFormat="0" applyFont="0" applyFill="0" applyAlignment="0" applyProtection="0"/>
    <xf numFmtId="0" fontId="35" fillId="0" borderId="0" applyNumberFormat="0" applyFont="0" applyFill="0" applyAlignment="0" applyProtection="0"/>
    <xf numFmtId="0" fontId="35" fillId="0" borderId="0" applyNumberFormat="0" applyFont="0" applyFill="0" applyAlignment="0" applyProtection="0"/>
    <xf numFmtId="0" fontId="35" fillId="0" borderId="0" applyNumberFormat="0" applyFont="0" applyFill="0" applyAlignment="0" applyProtection="0"/>
    <xf numFmtId="0" fontId="35" fillId="0" borderId="0" applyNumberFormat="0" applyFont="0" applyFill="0" applyAlignment="0" applyProtection="0"/>
    <xf numFmtId="0" fontId="35" fillId="0" borderId="0" applyNumberFormat="0" applyFont="0" applyFill="0" applyAlignment="0" applyProtection="0"/>
    <xf numFmtId="0" fontId="35" fillId="0" borderId="0" applyNumberFormat="0" applyFont="0" applyFill="0" applyAlignment="0" applyProtection="0"/>
    <xf numFmtId="0" fontId="35" fillId="0" borderId="0" applyNumberFormat="0" applyFont="0" applyFill="0" applyAlignment="0" applyProtection="0"/>
    <xf numFmtId="0" fontId="35" fillId="0" borderId="0" applyNumberFormat="0" applyFont="0" applyFill="0" applyAlignment="0" applyProtection="0"/>
    <xf numFmtId="0" fontId="40" fillId="0" borderId="4" applyNumberFormat="0" applyFill="0" applyAlignment="0" applyProtection="0"/>
    <xf numFmtId="0" fontId="70" fillId="0" borderId="36" applyNumberFormat="0" applyFill="0" applyAlignment="0" applyProtection="0"/>
    <xf numFmtId="0" fontId="41" fillId="0" borderId="5" applyNumberFormat="0" applyFill="0" applyAlignment="0" applyProtection="0"/>
    <xf numFmtId="0" fontId="7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2" fillId="58" borderId="32" applyNumberFormat="0" applyAlignment="0" applyProtection="0"/>
    <xf numFmtId="0" fontId="49" fillId="7" borderId="1" applyNumberFormat="0" applyAlignment="0" applyProtection="0"/>
    <xf numFmtId="0" fontId="73" fillId="0" borderId="37" applyNumberFormat="0" applyFill="0" applyAlignment="0" applyProtection="0"/>
    <xf numFmtId="0" fontId="50" fillId="0" borderId="6" applyNumberFormat="0" applyFill="0" applyAlignment="0" applyProtection="0"/>
    <xf numFmtId="0" fontId="74" fillId="59" borderId="0" applyNumberFormat="0" applyBorder="0" applyAlignment="0" applyProtection="0"/>
    <xf numFmtId="0" fontId="51" fillId="22" borderId="0" applyNumberFormat="0" applyBorder="0" applyAlignment="0" applyProtection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0" borderId="0"/>
    <xf numFmtId="0" fontId="19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7" fillId="0" borderId="0"/>
    <xf numFmtId="0" fontId="24" fillId="0" borderId="0"/>
    <xf numFmtId="0" fontId="57" fillId="0" borderId="0"/>
    <xf numFmtId="0" fontId="24" fillId="0" borderId="0"/>
    <xf numFmtId="0" fontId="24" fillId="0" borderId="0"/>
    <xf numFmtId="0" fontId="24" fillId="0" borderId="0"/>
    <xf numFmtId="0" fontId="57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4" fillId="0" borderId="0"/>
    <xf numFmtId="0" fontId="24" fillId="0" borderId="0">
      <alignment vertical="top"/>
    </xf>
    <xf numFmtId="0" fontId="57" fillId="0" borderId="0"/>
    <xf numFmtId="0" fontId="2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1" fillId="0" borderId="0"/>
    <xf numFmtId="0" fontId="61" fillId="0" borderId="0"/>
    <xf numFmtId="0" fontId="6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23" borderId="7" applyNumberFormat="0" applyFont="0" applyAlignment="0" applyProtection="0"/>
    <xf numFmtId="0" fontId="24" fillId="23" borderId="7" applyNumberFormat="0" applyFont="0" applyAlignment="0" applyProtection="0"/>
    <xf numFmtId="0" fontId="24" fillId="23" borderId="7" applyNumberFormat="0" applyFont="0" applyAlignment="0" applyProtection="0"/>
    <xf numFmtId="0" fontId="24" fillId="23" borderId="7" applyNumberFormat="0" applyFont="0" applyAlignment="0" applyProtection="0"/>
    <xf numFmtId="0" fontId="24" fillId="23" borderId="7" applyNumberFormat="0" applyFont="0" applyAlignment="0" applyProtection="0"/>
    <xf numFmtId="0" fontId="24" fillId="23" borderId="7" applyNumberFormat="0" applyFont="0" applyAlignment="0" applyProtection="0"/>
    <xf numFmtId="0" fontId="24" fillId="23" borderId="7" applyNumberFormat="0" applyFont="0" applyAlignment="0" applyProtection="0"/>
    <xf numFmtId="0" fontId="24" fillId="23" borderId="7" applyNumberFormat="0" applyFont="0" applyAlignment="0" applyProtection="0"/>
    <xf numFmtId="0" fontId="24" fillId="23" borderId="7" applyNumberFormat="0" applyFont="0" applyAlignment="0" applyProtection="0"/>
    <xf numFmtId="0" fontId="24" fillId="23" borderId="7" applyNumberFormat="0" applyFont="0" applyAlignment="0" applyProtection="0"/>
    <xf numFmtId="0" fontId="24" fillId="23" borderId="7" applyNumberFormat="0" applyFont="0" applyAlignment="0" applyProtection="0"/>
    <xf numFmtId="0" fontId="59" fillId="60" borderId="38" applyNumberFormat="0" applyFont="0" applyAlignment="0" applyProtection="0"/>
    <xf numFmtId="0" fontId="24" fillId="23" borderId="7" applyNumberFormat="0" applyFont="0" applyAlignment="0" applyProtection="0"/>
    <xf numFmtId="0" fontId="19" fillId="60" borderId="38" applyNumberFormat="0" applyFont="0" applyAlignment="0" applyProtection="0"/>
    <xf numFmtId="0" fontId="19" fillId="60" borderId="38" applyNumberFormat="0" applyFont="0" applyAlignment="0" applyProtection="0"/>
    <xf numFmtId="0" fontId="19" fillId="60" borderId="38" applyNumberFormat="0" applyFont="0" applyAlignment="0" applyProtection="0"/>
    <xf numFmtId="0" fontId="19" fillId="60" borderId="38" applyNumberFormat="0" applyFont="0" applyAlignment="0" applyProtection="0"/>
    <xf numFmtId="0" fontId="19" fillId="60" borderId="38" applyNumberFormat="0" applyFont="0" applyAlignment="0" applyProtection="0"/>
    <xf numFmtId="0" fontId="19" fillId="60" borderId="38" applyNumberFormat="0" applyFont="0" applyAlignment="0" applyProtection="0"/>
    <xf numFmtId="0" fontId="19" fillId="60" borderId="38" applyNumberFormat="0" applyFont="0" applyAlignment="0" applyProtection="0"/>
    <xf numFmtId="0" fontId="19" fillId="60" borderId="38" applyNumberFormat="0" applyFont="0" applyAlignment="0" applyProtection="0"/>
    <xf numFmtId="0" fontId="19" fillId="60" borderId="38" applyNumberFormat="0" applyFont="0" applyAlignment="0" applyProtection="0"/>
    <xf numFmtId="0" fontId="19" fillId="60" borderId="38" applyNumberFormat="0" applyFont="0" applyAlignment="0" applyProtection="0"/>
    <xf numFmtId="0" fontId="19" fillId="60" borderId="38" applyNumberFormat="0" applyFont="0" applyAlignment="0" applyProtection="0"/>
    <xf numFmtId="0" fontId="19" fillId="60" borderId="38" applyNumberFormat="0" applyFont="0" applyAlignment="0" applyProtection="0"/>
    <xf numFmtId="0" fontId="19" fillId="60" borderId="38" applyNumberFormat="0" applyFont="0" applyAlignment="0" applyProtection="0"/>
    <xf numFmtId="0" fontId="59" fillId="60" borderId="38" applyNumberFormat="0" applyFont="0" applyAlignment="0" applyProtection="0"/>
    <xf numFmtId="0" fontId="19" fillId="60" borderId="38" applyNumberFormat="0" applyFont="0" applyAlignment="0" applyProtection="0"/>
    <xf numFmtId="0" fontId="19" fillId="60" borderId="38" applyNumberFormat="0" applyFont="0" applyAlignment="0" applyProtection="0"/>
    <xf numFmtId="0" fontId="19" fillId="60" borderId="38" applyNumberFormat="0" applyFont="0" applyAlignment="0" applyProtection="0"/>
    <xf numFmtId="0" fontId="19" fillId="60" borderId="38" applyNumberFormat="0" applyFont="0" applyAlignment="0" applyProtection="0"/>
    <xf numFmtId="0" fontId="19" fillId="60" borderId="38" applyNumberFormat="0" applyFont="0" applyAlignment="0" applyProtection="0"/>
    <xf numFmtId="0" fontId="19" fillId="60" borderId="38" applyNumberFormat="0" applyFont="0" applyAlignment="0" applyProtection="0"/>
    <xf numFmtId="0" fontId="19" fillId="60" borderId="38" applyNumberFormat="0" applyFont="0" applyAlignment="0" applyProtection="0"/>
    <xf numFmtId="0" fontId="19" fillId="60" borderId="38" applyNumberFormat="0" applyFont="0" applyAlignment="0" applyProtection="0"/>
    <xf numFmtId="0" fontId="24" fillId="23" borderId="7" applyNumberFormat="0" applyFont="0" applyAlignment="0" applyProtection="0"/>
    <xf numFmtId="0" fontId="24" fillId="23" borderId="7" applyNumberFormat="0" applyFont="0" applyAlignment="0" applyProtection="0"/>
    <xf numFmtId="0" fontId="24" fillId="23" borderId="7" applyNumberFormat="0" applyFont="0" applyAlignment="0" applyProtection="0"/>
    <xf numFmtId="0" fontId="24" fillId="23" borderId="7" applyNumberFormat="0" applyFont="0" applyAlignment="0" applyProtection="0"/>
    <xf numFmtId="0" fontId="24" fillId="23" borderId="7" applyNumberFormat="0" applyFont="0" applyAlignment="0" applyProtection="0"/>
    <xf numFmtId="0" fontId="24" fillId="23" borderId="7" applyNumberFormat="0" applyFont="0" applyAlignment="0" applyProtection="0"/>
    <xf numFmtId="0" fontId="24" fillId="23" borderId="7" applyNumberFormat="0" applyFont="0" applyAlignment="0" applyProtection="0"/>
    <xf numFmtId="0" fontId="24" fillId="23" borderId="7" applyNumberFormat="0" applyFont="0" applyAlignment="0" applyProtection="0"/>
    <xf numFmtId="0" fontId="24" fillId="23" borderId="7" applyNumberFormat="0" applyFont="0" applyAlignment="0" applyProtection="0"/>
    <xf numFmtId="0" fontId="24" fillId="23" borderId="7" applyNumberFormat="0" applyFont="0" applyAlignment="0" applyProtection="0"/>
    <xf numFmtId="0" fontId="24" fillId="23" borderId="7" applyNumberFormat="0" applyFont="0" applyAlignment="0" applyProtection="0"/>
    <xf numFmtId="0" fontId="24" fillId="23" borderId="7" applyNumberFormat="0" applyFont="0" applyAlignment="0" applyProtection="0"/>
    <xf numFmtId="0" fontId="24" fillId="23" borderId="7" applyNumberFormat="0" applyFont="0" applyAlignment="0" applyProtection="0"/>
    <xf numFmtId="0" fontId="24" fillId="23" borderId="7" applyNumberFormat="0" applyFont="0" applyAlignment="0" applyProtection="0"/>
    <xf numFmtId="0" fontId="24" fillId="23" borderId="7" applyNumberFormat="0" applyFont="0" applyAlignment="0" applyProtection="0"/>
    <xf numFmtId="0" fontId="24" fillId="23" borderId="7" applyNumberFormat="0" applyFont="0" applyAlignment="0" applyProtection="0"/>
    <xf numFmtId="0" fontId="24" fillId="23" borderId="7" applyNumberFormat="0" applyFont="0" applyAlignment="0" applyProtection="0"/>
    <xf numFmtId="0" fontId="24" fillId="23" borderId="7" applyNumberFormat="0" applyFont="0" applyAlignment="0" applyProtection="0"/>
    <xf numFmtId="0" fontId="24" fillId="23" borderId="7" applyNumberFormat="0" applyFont="0" applyAlignment="0" applyProtection="0"/>
    <xf numFmtId="0" fontId="24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60" borderId="38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76" fillId="55" borderId="39" applyNumberFormat="0" applyAlignment="0" applyProtection="0"/>
    <xf numFmtId="0" fontId="52" fillId="20" borderId="8" applyNumberFormat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7" fillId="60" borderId="38" applyNumberFormat="0" applyFont="0" applyAlignment="0" applyProtection="0"/>
    <xf numFmtId="0" fontId="88" fillId="0" borderId="52" applyNumberFormat="0" applyFill="0" applyAlignment="0" applyProtection="0"/>
    <xf numFmtId="0" fontId="17" fillId="30" borderId="0" applyNumberFormat="0" applyBorder="0" applyAlignment="0" applyProtection="0"/>
    <xf numFmtId="0" fontId="17" fillId="36" borderId="0" applyNumberFormat="0" applyBorder="0" applyAlignment="0" applyProtection="0"/>
    <xf numFmtId="0" fontId="17" fillId="31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9" borderId="0" applyNumberFormat="0" applyBorder="0" applyAlignment="0" applyProtection="0"/>
    <xf numFmtId="0" fontId="17" fillId="34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41" borderId="0" applyNumberFormat="0" applyBorder="0" applyAlignment="0" applyProtection="0"/>
    <xf numFmtId="0" fontId="75" fillId="0" borderId="0"/>
    <xf numFmtId="0" fontId="90" fillId="0" borderId="0" applyNumberFormat="0" applyFill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72" fillId="58" borderId="32" applyNumberFormat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62" fillId="42" borderId="0" applyNumberFormat="0" applyBorder="0" applyAlignment="0" applyProtection="0"/>
    <xf numFmtId="0" fontId="16" fillId="31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16" fillId="31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16" fillId="31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5" borderId="0" applyNumberFormat="0" applyBorder="0" applyAlignment="0" applyProtection="0"/>
    <xf numFmtId="0" fontId="16" fillId="31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6" borderId="0" applyNumberFormat="0" applyBorder="0" applyAlignment="0" applyProtection="0"/>
    <xf numFmtId="0" fontId="16" fillId="31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16" fillId="31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16" fillId="31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9" borderId="0" applyNumberFormat="0" applyBorder="0" applyAlignment="0" applyProtection="0"/>
    <xf numFmtId="0" fontId="16" fillId="31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4" fillId="55" borderId="32" applyNumberFormat="0" applyAlignment="0" applyProtection="0"/>
    <xf numFmtId="0" fontId="64" fillId="55" borderId="32" applyNumberFormat="0" applyAlignment="0" applyProtection="0"/>
    <xf numFmtId="0" fontId="64" fillId="55" borderId="32" applyNumberFormat="0" applyAlignment="0" applyProtection="0"/>
    <xf numFmtId="0" fontId="64" fillId="55" borderId="32" applyNumberFormat="0" applyAlignment="0" applyProtection="0"/>
    <xf numFmtId="0" fontId="64" fillId="55" borderId="32" applyNumberFormat="0" applyAlignment="0" applyProtection="0"/>
    <xf numFmtId="0" fontId="64" fillId="55" borderId="32" applyNumberFormat="0" applyAlignment="0" applyProtection="0"/>
    <xf numFmtId="0" fontId="64" fillId="55" borderId="32" applyNumberFormat="0" applyAlignment="0" applyProtection="0"/>
    <xf numFmtId="0" fontId="64" fillId="55" borderId="32" applyNumberFormat="0" applyAlignment="0" applyProtection="0"/>
    <xf numFmtId="0" fontId="64" fillId="55" borderId="32" applyNumberFormat="0" applyAlignment="0" applyProtection="0"/>
    <xf numFmtId="0" fontId="64" fillId="55" borderId="32" applyNumberFormat="0" applyAlignment="0" applyProtection="0"/>
    <xf numFmtId="0" fontId="64" fillId="55" borderId="32" applyNumberFormat="0" applyAlignment="0" applyProtection="0"/>
    <xf numFmtId="0" fontId="64" fillId="55" borderId="32" applyNumberFormat="0" applyAlignment="0" applyProtection="0"/>
    <xf numFmtId="0" fontId="64" fillId="55" borderId="32" applyNumberFormat="0" applyAlignment="0" applyProtection="0"/>
    <xf numFmtId="0" fontId="64" fillId="55" borderId="32" applyNumberFormat="0" applyAlignment="0" applyProtection="0"/>
    <xf numFmtId="0" fontId="64" fillId="55" borderId="32" applyNumberFormat="0" applyAlignment="0" applyProtection="0"/>
    <xf numFmtId="0" fontId="64" fillId="55" borderId="32" applyNumberFormat="0" applyAlignment="0" applyProtection="0"/>
    <xf numFmtId="0" fontId="64" fillId="55" borderId="32" applyNumberFormat="0" applyAlignment="0" applyProtection="0"/>
    <xf numFmtId="0" fontId="64" fillId="55" borderId="32" applyNumberFormat="0" applyAlignment="0" applyProtection="0"/>
    <xf numFmtId="0" fontId="64" fillId="55" borderId="32" applyNumberFormat="0" applyAlignment="0" applyProtection="0"/>
    <xf numFmtId="0" fontId="65" fillId="56" borderId="33" applyNumberFormat="0" applyAlignment="0" applyProtection="0"/>
    <xf numFmtId="0" fontId="65" fillId="56" borderId="33" applyNumberFormat="0" applyAlignment="0" applyProtection="0"/>
    <xf numFmtId="0" fontId="65" fillId="56" borderId="33" applyNumberFormat="0" applyAlignment="0" applyProtection="0"/>
    <xf numFmtId="0" fontId="65" fillId="56" borderId="33" applyNumberFormat="0" applyAlignment="0" applyProtection="0"/>
    <xf numFmtId="0" fontId="65" fillId="56" borderId="33" applyNumberFormat="0" applyAlignment="0" applyProtection="0"/>
    <xf numFmtId="0" fontId="65" fillId="56" borderId="33" applyNumberFormat="0" applyAlignment="0" applyProtection="0"/>
    <xf numFmtId="0" fontId="65" fillId="56" borderId="33" applyNumberFormat="0" applyAlignment="0" applyProtection="0"/>
    <xf numFmtId="0" fontId="65" fillId="56" borderId="33" applyNumberFormat="0" applyAlignment="0" applyProtection="0"/>
    <xf numFmtId="0" fontId="65" fillId="56" borderId="33" applyNumberFormat="0" applyAlignment="0" applyProtection="0"/>
    <xf numFmtId="0" fontId="65" fillId="56" borderId="33" applyNumberFormat="0" applyAlignment="0" applyProtection="0"/>
    <xf numFmtId="0" fontId="65" fillId="56" borderId="33" applyNumberFormat="0" applyAlignment="0" applyProtection="0"/>
    <xf numFmtId="0" fontId="65" fillId="56" borderId="33" applyNumberFormat="0" applyAlignment="0" applyProtection="0"/>
    <xf numFmtId="0" fontId="65" fillId="56" borderId="33" applyNumberFormat="0" applyAlignment="0" applyProtection="0"/>
    <xf numFmtId="0" fontId="65" fillId="56" borderId="33" applyNumberFormat="0" applyAlignment="0" applyProtection="0"/>
    <xf numFmtId="0" fontId="65" fillId="56" borderId="33" applyNumberFormat="0" applyAlignment="0" applyProtection="0"/>
    <xf numFmtId="0" fontId="65" fillId="56" borderId="33" applyNumberFormat="0" applyAlignment="0" applyProtection="0"/>
    <xf numFmtId="0" fontId="65" fillId="56" borderId="33" applyNumberFormat="0" applyAlignment="0" applyProtection="0"/>
    <xf numFmtId="0" fontId="65" fillId="56" borderId="33" applyNumberFormat="0" applyAlignment="0" applyProtection="0"/>
    <xf numFmtId="0" fontId="65" fillId="56" borderId="33" applyNumberFormat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72" fillId="58" borderId="32" applyNumberFormat="0" applyAlignment="0" applyProtection="0"/>
    <xf numFmtId="0" fontId="16" fillId="30" borderId="0" applyNumberFormat="0" applyBorder="0" applyAlignment="0" applyProtection="0"/>
    <xf numFmtId="0" fontId="72" fillId="58" borderId="32" applyNumberFormat="0" applyAlignment="0" applyProtection="0"/>
    <xf numFmtId="0" fontId="72" fillId="58" borderId="32" applyNumberFormat="0" applyAlignment="0" applyProtection="0"/>
    <xf numFmtId="0" fontId="72" fillId="58" borderId="32" applyNumberFormat="0" applyAlignment="0" applyProtection="0"/>
    <xf numFmtId="0" fontId="72" fillId="58" borderId="32" applyNumberFormat="0" applyAlignment="0" applyProtection="0"/>
    <xf numFmtId="0" fontId="72" fillId="58" borderId="32" applyNumberFormat="0" applyAlignment="0" applyProtection="0"/>
    <xf numFmtId="0" fontId="72" fillId="58" borderId="32" applyNumberFormat="0" applyAlignment="0" applyProtection="0"/>
    <xf numFmtId="0" fontId="72" fillId="58" borderId="32" applyNumberFormat="0" applyAlignment="0" applyProtection="0"/>
    <xf numFmtId="0" fontId="72" fillId="58" borderId="32" applyNumberFormat="0" applyAlignment="0" applyProtection="0"/>
    <xf numFmtId="0" fontId="72" fillId="58" borderId="32" applyNumberFormat="0" applyAlignment="0" applyProtection="0"/>
    <xf numFmtId="0" fontId="72" fillId="58" borderId="32" applyNumberFormat="0" applyAlignment="0" applyProtection="0"/>
    <xf numFmtId="0" fontId="72" fillId="58" borderId="32" applyNumberFormat="0" applyAlignment="0" applyProtection="0"/>
    <xf numFmtId="0" fontId="72" fillId="58" borderId="32" applyNumberFormat="0" applyAlignment="0" applyProtection="0"/>
    <xf numFmtId="0" fontId="72" fillId="58" borderId="32" applyNumberFormat="0" applyAlignment="0" applyProtection="0"/>
    <xf numFmtId="0" fontId="72" fillId="58" borderId="32" applyNumberFormat="0" applyAlignment="0" applyProtection="0"/>
    <xf numFmtId="0" fontId="72" fillId="58" borderId="32" applyNumberFormat="0" applyAlignment="0" applyProtection="0"/>
    <xf numFmtId="0" fontId="72" fillId="58" borderId="32" applyNumberFormat="0" applyAlignment="0" applyProtection="0"/>
    <xf numFmtId="0" fontId="72" fillId="58" borderId="32" applyNumberFormat="0" applyAlignment="0" applyProtection="0"/>
    <xf numFmtId="0" fontId="72" fillId="58" borderId="32" applyNumberFormat="0" applyAlignment="0" applyProtection="0"/>
    <xf numFmtId="0" fontId="73" fillId="0" borderId="37" applyNumberFormat="0" applyFill="0" applyAlignment="0" applyProtection="0"/>
    <xf numFmtId="0" fontId="16" fillId="30" borderId="0" applyNumberFormat="0" applyBorder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4" fillId="59" borderId="0" applyNumberFormat="0" applyBorder="0" applyAlignment="0" applyProtection="0"/>
    <xf numFmtId="0" fontId="16" fillId="30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16" fillId="0" borderId="0"/>
    <xf numFmtId="0" fontId="16" fillId="0" borderId="0"/>
    <xf numFmtId="0" fontId="2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6" fillId="30" borderId="0" applyNumberFormat="0" applyBorder="0" applyAlignment="0" applyProtection="0"/>
    <xf numFmtId="0" fontId="7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16" fillId="3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75" fillId="0" borderId="0"/>
    <xf numFmtId="0" fontId="75" fillId="0" borderId="0"/>
    <xf numFmtId="0" fontId="75" fillId="0" borderId="0"/>
    <xf numFmtId="0" fontId="16" fillId="0" borderId="0"/>
    <xf numFmtId="0" fontId="24" fillId="0" borderId="0"/>
    <xf numFmtId="0" fontId="24" fillId="0" borderId="0"/>
    <xf numFmtId="0" fontId="16" fillId="3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3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36" borderId="0" applyNumberFormat="0" applyBorder="0" applyAlignment="0" applyProtection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36" borderId="0" applyNumberFormat="0" applyBorder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76" fillId="55" borderId="39" applyNumberFormat="0" applyAlignment="0" applyProtection="0"/>
    <xf numFmtId="0" fontId="76" fillId="55" borderId="39" applyNumberFormat="0" applyAlignment="0" applyProtection="0"/>
    <xf numFmtId="0" fontId="76" fillId="55" borderId="39" applyNumberFormat="0" applyAlignment="0" applyProtection="0"/>
    <xf numFmtId="0" fontId="76" fillId="55" borderId="39" applyNumberFormat="0" applyAlignment="0" applyProtection="0"/>
    <xf numFmtId="0" fontId="76" fillId="55" borderId="39" applyNumberFormat="0" applyAlignment="0" applyProtection="0"/>
    <xf numFmtId="0" fontId="76" fillId="55" borderId="39" applyNumberFormat="0" applyAlignment="0" applyProtection="0"/>
    <xf numFmtId="0" fontId="76" fillId="55" borderId="39" applyNumberFormat="0" applyAlignment="0" applyProtection="0"/>
    <xf numFmtId="0" fontId="76" fillId="55" borderId="39" applyNumberFormat="0" applyAlignment="0" applyProtection="0"/>
    <xf numFmtId="0" fontId="76" fillId="55" borderId="39" applyNumberFormat="0" applyAlignment="0" applyProtection="0"/>
    <xf numFmtId="0" fontId="76" fillId="55" borderId="39" applyNumberFormat="0" applyAlignment="0" applyProtection="0"/>
    <xf numFmtId="0" fontId="76" fillId="55" borderId="39" applyNumberFormat="0" applyAlignment="0" applyProtection="0"/>
    <xf numFmtId="0" fontId="76" fillId="55" borderId="39" applyNumberFormat="0" applyAlignment="0" applyProtection="0"/>
    <xf numFmtId="0" fontId="76" fillId="55" borderId="39" applyNumberFormat="0" applyAlignment="0" applyProtection="0"/>
    <xf numFmtId="0" fontId="76" fillId="55" borderId="39" applyNumberFormat="0" applyAlignment="0" applyProtection="0"/>
    <xf numFmtId="0" fontId="76" fillId="55" borderId="39" applyNumberFormat="0" applyAlignment="0" applyProtection="0"/>
    <xf numFmtId="0" fontId="76" fillId="55" borderId="39" applyNumberFormat="0" applyAlignment="0" applyProtection="0"/>
    <xf numFmtId="0" fontId="76" fillId="55" borderId="39" applyNumberFormat="0" applyAlignment="0" applyProtection="0"/>
    <xf numFmtId="0" fontId="76" fillId="55" borderId="39" applyNumberFormat="0" applyAlignment="0" applyProtection="0"/>
    <xf numFmtId="0" fontId="76" fillId="55" borderId="39" applyNumberFormat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5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67" fillId="57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65" fillId="56" borderId="33" applyNumberFormat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64" fillId="55" borderId="32" applyNumberFormat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63" fillId="54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62" fillId="53" borderId="0" applyNumberFormat="0" applyBorder="0" applyAlignment="0" applyProtection="0"/>
    <xf numFmtId="0" fontId="62" fillId="42" borderId="0" applyNumberFormat="0" applyBorder="0" applyAlignment="0" applyProtection="0"/>
    <xf numFmtId="0" fontId="62" fillId="52" borderId="0" applyNumberFormat="0" applyBorder="0" applyAlignment="0" applyProtection="0"/>
    <xf numFmtId="0" fontId="62" fillId="43" borderId="0" applyNumberFormat="0" applyBorder="0" applyAlignment="0" applyProtection="0"/>
    <xf numFmtId="0" fontId="62" fillId="51" borderId="0" applyNumberFormat="0" applyBorder="0" applyAlignment="0" applyProtection="0"/>
    <xf numFmtId="0" fontId="62" fillId="44" borderId="0" applyNumberFormat="0" applyBorder="0" applyAlignment="0" applyProtection="0"/>
    <xf numFmtId="0" fontId="62" fillId="50" borderId="0" applyNumberFormat="0" applyBorder="0" applyAlignment="0" applyProtection="0"/>
    <xf numFmtId="0" fontId="62" fillId="45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8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46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45" borderId="0" applyNumberFormat="0" applyBorder="0" applyAlignment="0" applyProtection="0"/>
    <xf numFmtId="0" fontId="62" fillId="51" borderId="0" applyNumberFormat="0" applyBorder="0" applyAlignment="0" applyProtection="0"/>
    <xf numFmtId="0" fontId="62" fillId="44" borderId="0" applyNumberFormat="0" applyBorder="0" applyAlignment="0" applyProtection="0"/>
    <xf numFmtId="0" fontId="62" fillId="52" borderId="0" applyNumberFormat="0" applyBorder="0" applyAlignment="0" applyProtection="0"/>
    <xf numFmtId="0" fontId="62" fillId="43" borderId="0" applyNumberFormat="0" applyBorder="0" applyAlignment="0" applyProtection="0"/>
    <xf numFmtId="0" fontId="62" fillId="53" borderId="0" applyNumberFormat="0" applyBorder="0" applyAlignment="0" applyProtection="0"/>
    <xf numFmtId="0" fontId="62" fillId="42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63" fillId="5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64" fillId="55" borderId="32" applyNumberFormat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9" borderId="0" applyNumberFormat="0" applyBorder="0" applyAlignment="0" applyProtection="0"/>
    <xf numFmtId="0" fontId="65" fillId="56" borderId="33" applyNumberFormat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66" fillId="0" borderId="0" applyNumberFormat="0" applyFill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67" fillId="5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72" fillId="58" borderId="32" applyNumberFormat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5" borderId="0" applyNumberFormat="0" applyBorder="0" applyAlignment="0" applyProtection="0"/>
    <xf numFmtId="0" fontId="73" fillId="0" borderId="37" applyNumberFormat="0" applyFill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74" fillId="59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0" borderId="0"/>
    <xf numFmtId="0" fontId="16" fillId="0" borderId="0"/>
    <xf numFmtId="0" fontId="2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24" fillId="0" borderId="0"/>
    <xf numFmtId="0" fontId="75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75" fillId="0" borderId="0"/>
    <xf numFmtId="0" fontId="75" fillId="0" borderId="0"/>
    <xf numFmtId="0" fontId="16" fillId="0" borderId="0"/>
    <xf numFmtId="0" fontId="24" fillId="0" borderId="0"/>
    <xf numFmtId="0" fontId="24" fillId="0" borderId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7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76" fillId="55" borderId="39" applyNumberFormat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91" fillId="0" borderId="0" applyNumberFormat="0" applyFill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90" fillId="0" borderId="0" applyNumberFormat="0" applyFill="0" applyBorder="0" applyAlignment="0" applyProtection="0"/>
    <xf numFmtId="0" fontId="75" fillId="0" borderId="0"/>
    <xf numFmtId="0" fontId="73" fillId="0" borderId="37" applyNumberFormat="0" applyFill="0" applyAlignment="0" applyProtection="0"/>
    <xf numFmtId="0" fontId="74" fillId="59" borderId="0" applyNumberFormat="0" applyBorder="0" applyAlignment="0" applyProtection="0"/>
    <xf numFmtId="0" fontId="16" fillId="0" borderId="0"/>
    <xf numFmtId="0" fontId="16" fillId="0" borderId="0"/>
    <xf numFmtId="0" fontId="2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4" fillId="0" borderId="0"/>
    <xf numFmtId="0" fontId="75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75" fillId="0" borderId="0"/>
    <xf numFmtId="0" fontId="75" fillId="0" borderId="0"/>
    <xf numFmtId="0" fontId="16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76" fillId="55" borderId="39" applyNumberFormat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9" fillId="60" borderId="38" applyNumberFormat="0" applyFont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60" borderId="38" applyNumberFormat="0" applyFont="0" applyAlignment="0" applyProtection="0"/>
    <xf numFmtId="0" fontId="16" fillId="0" borderId="0"/>
    <xf numFmtId="0" fontId="16" fillId="60" borderId="38" applyNumberFormat="0" applyFont="0" applyAlignment="0" applyProtection="0"/>
    <xf numFmtId="0" fontId="16" fillId="30" borderId="0" applyNumberFormat="0" applyBorder="0" applyAlignment="0" applyProtection="0"/>
    <xf numFmtId="0" fontId="16" fillId="36" borderId="0" applyNumberFormat="0" applyBorder="0" applyAlignment="0" applyProtection="0"/>
    <xf numFmtId="0" fontId="16" fillId="31" borderId="0" applyNumberFormat="0" applyBorder="0" applyAlignment="0" applyProtection="0"/>
    <xf numFmtId="0" fontId="16" fillId="37" borderId="0" applyNumberFormat="0" applyBorder="0" applyAlignment="0" applyProtection="0"/>
    <xf numFmtId="0" fontId="16" fillId="32" borderId="0" applyNumberFormat="0" applyBorder="0" applyAlignment="0" applyProtection="0"/>
    <xf numFmtId="0" fontId="16" fillId="38" borderId="0" applyNumberFormat="0" applyBorder="0" applyAlignment="0" applyProtection="0"/>
    <xf numFmtId="0" fontId="16" fillId="33" borderId="0" applyNumberFormat="0" applyBorder="0" applyAlignment="0" applyProtection="0"/>
    <xf numFmtId="0" fontId="16" fillId="39" borderId="0" applyNumberFormat="0" applyBorder="0" applyAlignment="0" applyProtection="0"/>
    <xf numFmtId="0" fontId="16" fillId="34" borderId="0" applyNumberFormat="0" applyBorder="0" applyAlignment="0" applyProtection="0"/>
    <xf numFmtId="0" fontId="16" fillId="40" borderId="0" applyNumberFormat="0" applyBorder="0" applyAlignment="0" applyProtection="0"/>
    <xf numFmtId="0" fontId="16" fillId="35" borderId="0" applyNumberFormat="0" applyBorder="0" applyAlignment="0" applyProtection="0"/>
    <xf numFmtId="0" fontId="16" fillId="41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0" borderId="0"/>
    <xf numFmtId="0" fontId="16" fillId="0" borderId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0" borderId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36" borderId="0" applyNumberFormat="0" applyBorder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0" borderId="0"/>
    <xf numFmtId="0" fontId="16" fillId="0" borderId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0" borderId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6" fillId="60" borderId="3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60" borderId="38" applyNumberFormat="0" applyFont="0" applyAlignment="0" applyProtection="0"/>
    <xf numFmtId="0" fontId="13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1" borderId="0" applyNumberFormat="0" applyBorder="0" applyAlignment="0" applyProtection="0"/>
    <xf numFmtId="0" fontId="13" fillId="37" borderId="0" applyNumberFormat="0" applyBorder="0" applyAlignment="0" applyProtection="0"/>
    <xf numFmtId="0" fontId="13" fillId="32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9" borderId="0" applyNumberFormat="0" applyBorder="0" applyAlignment="0" applyProtection="0"/>
    <xf numFmtId="0" fontId="13" fillId="34" borderId="0" applyNumberFormat="0" applyBorder="0" applyAlignment="0" applyProtection="0"/>
    <xf numFmtId="0" fontId="13" fillId="40" borderId="0" applyNumberFormat="0" applyBorder="0" applyAlignment="0" applyProtection="0"/>
    <xf numFmtId="0" fontId="13" fillId="35" borderId="0" applyNumberFormat="0" applyBorder="0" applyAlignment="0" applyProtection="0"/>
    <xf numFmtId="0" fontId="13" fillId="4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0" borderId="0"/>
    <xf numFmtId="0" fontId="13" fillId="0" borderId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0" borderId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36" borderId="0" applyNumberFormat="0" applyBorder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0" borderId="0"/>
    <xf numFmtId="0" fontId="13" fillId="0" borderId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60" borderId="38" applyNumberFormat="0" applyFont="0" applyAlignment="0" applyProtection="0"/>
    <xf numFmtId="0" fontId="13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1" borderId="0" applyNumberFormat="0" applyBorder="0" applyAlignment="0" applyProtection="0"/>
    <xf numFmtId="0" fontId="13" fillId="37" borderId="0" applyNumberFormat="0" applyBorder="0" applyAlignment="0" applyProtection="0"/>
    <xf numFmtId="0" fontId="13" fillId="32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9" borderId="0" applyNumberFormat="0" applyBorder="0" applyAlignment="0" applyProtection="0"/>
    <xf numFmtId="0" fontId="13" fillId="34" borderId="0" applyNumberFormat="0" applyBorder="0" applyAlignment="0" applyProtection="0"/>
    <xf numFmtId="0" fontId="13" fillId="40" borderId="0" applyNumberFormat="0" applyBorder="0" applyAlignment="0" applyProtection="0"/>
    <xf numFmtId="0" fontId="13" fillId="35" borderId="0" applyNumberFormat="0" applyBorder="0" applyAlignment="0" applyProtection="0"/>
    <xf numFmtId="0" fontId="13" fillId="4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0" borderId="0"/>
    <xf numFmtId="0" fontId="13" fillId="0" borderId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0" borderId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36" borderId="0" applyNumberFormat="0" applyBorder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0" borderId="0"/>
    <xf numFmtId="0" fontId="13" fillId="0" borderId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60" borderId="38" applyNumberFormat="0" applyFont="0" applyAlignment="0" applyProtection="0"/>
    <xf numFmtId="0" fontId="13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1" borderId="0" applyNumberFormat="0" applyBorder="0" applyAlignment="0" applyProtection="0"/>
    <xf numFmtId="0" fontId="13" fillId="37" borderId="0" applyNumberFormat="0" applyBorder="0" applyAlignment="0" applyProtection="0"/>
    <xf numFmtId="0" fontId="13" fillId="32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9" borderId="0" applyNumberFormat="0" applyBorder="0" applyAlignment="0" applyProtection="0"/>
    <xf numFmtId="0" fontId="13" fillId="34" borderId="0" applyNumberFormat="0" applyBorder="0" applyAlignment="0" applyProtection="0"/>
    <xf numFmtId="0" fontId="13" fillId="40" borderId="0" applyNumberFormat="0" applyBorder="0" applyAlignment="0" applyProtection="0"/>
    <xf numFmtId="0" fontId="13" fillId="35" borderId="0" applyNumberFormat="0" applyBorder="0" applyAlignment="0" applyProtection="0"/>
    <xf numFmtId="0" fontId="13" fillId="4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0" borderId="0"/>
    <xf numFmtId="0" fontId="13" fillId="0" borderId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0" borderId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36" borderId="0" applyNumberFormat="0" applyBorder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0" borderId="0"/>
    <xf numFmtId="0" fontId="13" fillId="0" borderId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60" borderId="38" applyNumberFormat="0" applyFont="0" applyAlignment="0" applyProtection="0"/>
    <xf numFmtId="0" fontId="13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1" borderId="0" applyNumberFormat="0" applyBorder="0" applyAlignment="0" applyProtection="0"/>
    <xf numFmtId="0" fontId="13" fillId="37" borderId="0" applyNumberFormat="0" applyBorder="0" applyAlignment="0" applyProtection="0"/>
    <xf numFmtId="0" fontId="13" fillId="32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9" borderId="0" applyNumberFormat="0" applyBorder="0" applyAlignment="0" applyProtection="0"/>
    <xf numFmtId="0" fontId="13" fillId="34" borderId="0" applyNumberFormat="0" applyBorder="0" applyAlignment="0" applyProtection="0"/>
    <xf numFmtId="0" fontId="13" fillId="40" borderId="0" applyNumberFormat="0" applyBorder="0" applyAlignment="0" applyProtection="0"/>
    <xf numFmtId="0" fontId="13" fillId="35" borderId="0" applyNumberFormat="0" applyBorder="0" applyAlignment="0" applyProtection="0"/>
    <xf numFmtId="0" fontId="13" fillId="4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0" borderId="0"/>
    <xf numFmtId="0" fontId="13" fillId="0" borderId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0" borderId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36" borderId="0" applyNumberFormat="0" applyBorder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0" borderId="0"/>
    <xf numFmtId="0" fontId="13" fillId="0" borderId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60" borderId="38" applyNumberFormat="0" applyFont="0" applyAlignment="0" applyProtection="0"/>
    <xf numFmtId="0" fontId="13" fillId="0" borderId="0"/>
    <xf numFmtId="0" fontId="97" fillId="0" borderId="0"/>
    <xf numFmtId="0" fontId="97" fillId="0" borderId="0"/>
    <xf numFmtId="0" fontId="97" fillId="0" borderId="0"/>
    <xf numFmtId="0" fontId="98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9" borderId="0" applyNumberFormat="0" applyBorder="0" applyAlignment="0" applyProtection="0"/>
    <xf numFmtId="0" fontId="44" fillId="3" borderId="0" applyNumberFormat="0" applyBorder="0" applyAlignment="0" applyProtection="0"/>
    <xf numFmtId="0" fontId="45" fillId="20" borderId="1" applyNumberFormat="0" applyAlignment="0" applyProtection="0"/>
    <xf numFmtId="0" fontId="46" fillId="21" borderId="2" applyNumberFormat="0" applyAlignment="0" applyProtection="0"/>
    <xf numFmtId="0" fontId="47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49" fillId="7" borderId="1" applyNumberFormat="0" applyAlignment="0" applyProtection="0"/>
    <xf numFmtId="0" fontId="50" fillId="0" borderId="6" applyNumberFormat="0" applyFill="0" applyAlignment="0" applyProtection="0"/>
    <xf numFmtId="0" fontId="51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37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57" fillId="0" borderId="0"/>
    <xf numFmtId="0" fontId="19" fillId="0" borderId="0"/>
    <xf numFmtId="0" fontId="19" fillId="0" borderId="0"/>
    <xf numFmtId="0" fontId="24" fillId="23" borderId="7" applyNumberFormat="0" applyFont="0" applyAlignment="0" applyProtection="0"/>
    <xf numFmtId="0" fontId="19" fillId="23" borderId="7" applyNumberFormat="0" applyFont="0" applyAlignment="0" applyProtection="0"/>
    <xf numFmtId="0" fontId="52" fillId="20" borderId="8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7" fillId="0" borderId="0"/>
    <xf numFmtId="0" fontId="9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1" fillId="57" borderId="0" applyNumberFormat="0" applyBorder="0" applyAlignment="0" applyProtection="0"/>
    <xf numFmtId="0" fontId="102" fillId="54" borderId="0" applyNumberFormat="0" applyBorder="0" applyAlignment="0" applyProtection="0"/>
    <xf numFmtId="0" fontId="103" fillId="59" borderId="0" applyNumberFormat="0" applyBorder="0" applyAlignment="0" applyProtection="0"/>
    <xf numFmtId="0" fontId="104" fillId="58" borderId="32" applyNumberFormat="0" applyAlignment="0" applyProtection="0"/>
    <xf numFmtId="0" fontId="105" fillId="55" borderId="39" applyNumberFormat="0" applyAlignment="0" applyProtection="0"/>
    <xf numFmtId="0" fontId="106" fillId="55" borderId="32" applyNumberFormat="0" applyAlignment="0" applyProtection="0"/>
    <xf numFmtId="0" fontId="107" fillId="0" borderId="37" applyNumberFormat="0" applyFill="0" applyAlignment="0" applyProtection="0"/>
    <xf numFmtId="0" fontId="108" fillId="56" borderId="33" applyNumberFormat="0" applyAlignment="0" applyProtection="0"/>
    <xf numFmtId="0" fontId="109" fillId="0" borderId="0" applyNumberFormat="0" applyFill="0" applyBorder="0" applyAlignment="0" applyProtection="0"/>
    <xf numFmtId="0" fontId="11" fillId="60" borderId="38" applyNumberFormat="0" applyFont="0" applyAlignment="0" applyProtection="0"/>
    <xf numFmtId="0" fontId="110" fillId="0" borderId="0" applyNumberFormat="0" applyFill="0" applyBorder="0" applyAlignment="0" applyProtection="0"/>
    <xf numFmtId="0" fontId="111" fillId="0" borderId="52" applyNumberFormat="0" applyFill="0" applyAlignment="0" applyProtection="0"/>
    <xf numFmtId="0" fontId="112" fillId="48" borderId="0" applyNumberFormat="0" applyBorder="0" applyAlignment="0" applyProtection="0"/>
    <xf numFmtId="0" fontId="11" fillId="30" borderId="0" applyNumberFormat="0" applyBorder="0" applyAlignment="0" applyProtection="0"/>
    <xf numFmtId="0" fontId="11" fillId="36" borderId="0" applyNumberFormat="0" applyBorder="0" applyAlignment="0" applyProtection="0"/>
    <xf numFmtId="0" fontId="112" fillId="42" borderId="0" applyNumberFormat="0" applyBorder="0" applyAlignment="0" applyProtection="0"/>
    <xf numFmtId="0" fontId="112" fillId="49" borderId="0" applyNumberFormat="0" applyBorder="0" applyAlignment="0" applyProtection="0"/>
    <xf numFmtId="0" fontId="11" fillId="31" borderId="0" applyNumberFormat="0" applyBorder="0" applyAlignment="0" applyProtection="0"/>
    <xf numFmtId="0" fontId="11" fillId="37" borderId="0" applyNumberFormat="0" applyBorder="0" applyAlignment="0" applyProtection="0"/>
    <xf numFmtId="0" fontId="112" fillId="43" borderId="0" applyNumberFormat="0" applyBorder="0" applyAlignment="0" applyProtection="0"/>
    <xf numFmtId="0" fontId="112" fillId="50" borderId="0" applyNumberFormat="0" applyBorder="0" applyAlignment="0" applyProtection="0"/>
    <xf numFmtId="0" fontId="11" fillId="32" borderId="0" applyNumberFormat="0" applyBorder="0" applyAlignment="0" applyProtection="0"/>
    <xf numFmtId="0" fontId="11" fillId="38" borderId="0" applyNumberFormat="0" applyBorder="0" applyAlignment="0" applyProtection="0"/>
    <xf numFmtId="0" fontId="112" fillId="44" borderId="0" applyNumberFormat="0" applyBorder="0" applyAlignment="0" applyProtection="0"/>
    <xf numFmtId="0" fontId="112" fillId="51" borderId="0" applyNumberFormat="0" applyBorder="0" applyAlignment="0" applyProtection="0"/>
    <xf numFmtId="0" fontId="11" fillId="33" borderId="0" applyNumberFormat="0" applyBorder="0" applyAlignment="0" applyProtection="0"/>
    <xf numFmtId="0" fontId="11" fillId="39" borderId="0" applyNumberFormat="0" applyBorder="0" applyAlignment="0" applyProtection="0"/>
    <xf numFmtId="0" fontId="112" fillId="45" borderId="0" applyNumberFormat="0" applyBorder="0" applyAlignment="0" applyProtection="0"/>
    <xf numFmtId="0" fontId="112" fillId="52" borderId="0" applyNumberFormat="0" applyBorder="0" applyAlignment="0" applyProtection="0"/>
    <xf numFmtId="0" fontId="11" fillId="34" borderId="0" applyNumberFormat="0" applyBorder="0" applyAlignment="0" applyProtection="0"/>
    <xf numFmtId="0" fontId="11" fillId="40" borderId="0" applyNumberFormat="0" applyBorder="0" applyAlignment="0" applyProtection="0"/>
    <xf numFmtId="0" fontId="112" fillId="46" borderId="0" applyNumberFormat="0" applyBorder="0" applyAlignment="0" applyProtection="0"/>
    <xf numFmtId="0" fontId="112" fillId="53" borderId="0" applyNumberFormat="0" applyBorder="0" applyAlignment="0" applyProtection="0"/>
    <xf numFmtId="0" fontId="11" fillId="35" borderId="0" applyNumberFormat="0" applyBorder="0" applyAlignment="0" applyProtection="0"/>
    <xf numFmtId="0" fontId="11" fillId="41" borderId="0" applyNumberFormat="0" applyBorder="0" applyAlignment="0" applyProtection="0"/>
    <xf numFmtId="0" fontId="112" fillId="47" borderId="0" applyNumberFormat="0" applyBorder="0" applyAlignment="0" applyProtection="0"/>
    <xf numFmtId="0" fontId="113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4" fillId="0" borderId="0"/>
    <xf numFmtId="0" fontId="116" fillId="0" borderId="0"/>
    <xf numFmtId="0" fontId="10" fillId="0" borderId="0"/>
    <xf numFmtId="43" fontId="10" fillId="0" borderId="0" applyFont="0" applyFill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20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2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24" fillId="0" borderId="0"/>
    <xf numFmtId="0" fontId="123" fillId="0" borderId="0"/>
    <xf numFmtId="0" fontId="113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118" fillId="0" borderId="0"/>
    <xf numFmtId="0" fontId="113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3" fillId="0" borderId="0"/>
    <xf numFmtId="0" fontId="10" fillId="0" borderId="0"/>
    <xf numFmtId="0" fontId="1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9" fontId="24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4" fillId="0" borderId="0"/>
    <xf numFmtId="0" fontId="10" fillId="30" borderId="0" applyNumberFormat="0" applyBorder="0" applyAlignment="0" applyProtection="0"/>
    <xf numFmtId="0" fontId="119" fillId="2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9" fillId="2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19" fillId="3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9" fillId="3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19" fillId="4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19" fillId="4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19" fillId="5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19" fillId="5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19" fillId="6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19" fillId="6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19" fillId="7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19" fillId="7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19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9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19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19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19" fillId="1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19" fillId="1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19" fillId="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19" fillId="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19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9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19" fillId="1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9" fillId="1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2" fillId="42" borderId="0" applyNumberFormat="0" applyBorder="0" applyAlignment="0" applyProtection="0"/>
    <xf numFmtId="0" fontId="124" fillId="12" borderId="0" applyNumberFormat="0" applyBorder="0" applyAlignment="0" applyProtection="0"/>
    <xf numFmtId="0" fontId="112" fillId="42" borderId="0" applyNumberFormat="0" applyBorder="0" applyAlignment="0" applyProtection="0"/>
    <xf numFmtId="0" fontId="112" fillId="42" borderId="0" applyNumberFormat="0" applyBorder="0" applyAlignment="0" applyProtection="0"/>
    <xf numFmtId="0" fontId="124" fillId="12" borderId="0" applyNumberFormat="0" applyBorder="0" applyAlignment="0" applyProtection="0"/>
    <xf numFmtId="0" fontId="112" fillId="43" borderId="0" applyNumberFormat="0" applyBorder="0" applyAlignment="0" applyProtection="0"/>
    <xf numFmtId="0" fontId="124" fillId="9" borderId="0" applyNumberFormat="0" applyBorder="0" applyAlignment="0" applyProtection="0"/>
    <xf numFmtId="0" fontId="112" fillId="43" borderId="0" applyNumberFormat="0" applyBorder="0" applyAlignment="0" applyProtection="0"/>
    <xf numFmtId="0" fontId="112" fillId="43" borderId="0" applyNumberFormat="0" applyBorder="0" applyAlignment="0" applyProtection="0"/>
    <xf numFmtId="0" fontId="124" fillId="9" borderId="0" applyNumberFormat="0" applyBorder="0" applyAlignment="0" applyProtection="0"/>
    <xf numFmtId="0" fontId="112" fillId="44" borderId="0" applyNumberFormat="0" applyBorder="0" applyAlignment="0" applyProtection="0"/>
    <xf numFmtId="0" fontId="124" fillId="10" borderId="0" applyNumberFormat="0" applyBorder="0" applyAlignment="0" applyProtection="0"/>
    <xf numFmtId="0" fontId="112" fillId="44" borderId="0" applyNumberFormat="0" applyBorder="0" applyAlignment="0" applyProtection="0"/>
    <xf numFmtId="0" fontId="112" fillId="44" borderId="0" applyNumberFormat="0" applyBorder="0" applyAlignment="0" applyProtection="0"/>
    <xf numFmtId="0" fontId="124" fillId="10" borderId="0" applyNumberFormat="0" applyBorder="0" applyAlignment="0" applyProtection="0"/>
    <xf numFmtId="0" fontId="112" fillId="45" borderId="0" applyNumberFormat="0" applyBorder="0" applyAlignment="0" applyProtection="0"/>
    <xf numFmtId="0" fontId="124" fillId="13" borderId="0" applyNumberFormat="0" applyBorder="0" applyAlignment="0" applyProtection="0"/>
    <xf numFmtId="0" fontId="112" fillId="45" borderId="0" applyNumberFormat="0" applyBorder="0" applyAlignment="0" applyProtection="0"/>
    <xf numFmtId="0" fontId="112" fillId="45" borderId="0" applyNumberFormat="0" applyBorder="0" applyAlignment="0" applyProtection="0"/>
    <xf numFmtId="0" fontId="124" fillId="13" borderId="0" applyNumberFormat="0" applyBorder="0" applyAlignment="0" applyProtection="0"/>
    <xf numFmtId="0" fontId="112" fillId="46" borderId="0" applyNumberFormat="0" applyBorder="0" applyAlignment="0" applyProtection="0"/>
    <xf numFmtId="0" fontId="124" fillId="14" borderId="0" applyNumberFormat="0" applyBorder="0" applyAlignment="0" applyProtection="0"/>
    <xf numFmtId="0" fontId="112" fillId="46" borderId="0" applyNumberFormat="0" applyBorder="0" applyAlignment="0" applyProtection="0"/>
    <xf numFmtId="0" fontId="112" fillId="46" borderId="0" applyNumberFormat="0" applyBorder="0" applyAlignment="0" applyProtection="0"/>
    <xf numFmtId="0" fontId="124" fillId="14" borderId="0" applyNumberFormat="0" applyBorder="0" applyAlignment="0" applyProtection="0"/>
    <xf numFmtId="0" fontId="112" fillId="47" borderId="0" applyNumberFormat="0" applyBorder="0" applyAlignment="0" applyProtection="0"/>
    <xf numFmtId="0" fontId="124" fillId="15" borderId="0" applyNumberFormat="0" applyBorder="0" applyAlignment="0" applyProtection="0"/>
    <xf numFmtId="0" fontId="112" fillId="47" borderId="0" applyNumberFormat="0" applyBorder="0" applyAlignment="0" applyProtection="0"/>
    <xf numFmtId="0" fontId="112" fillId="47" borderId="0" applyNumberFormat="0" applyBorder="0" applyAlignment="0" applyProtection="0"/>
    <xf numFmtId="0" fontId="124" fillId="15" borderId="0" applyNumberFormat="0" applyBorder="0" applyAlignment="0" applyProtection="0"/>
    <xf numFmtId="0" fontId="112" fillId="48" borderId="0" applyNumberFormat="0" applyBorder="0" applyAlignment="0" applyProtection="0"/>
    <xf numFmtId="0" fontId="124" fillId="16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24" fillId="16" borderId="0" applyNumberFormat="0" applyBorder="0" applyAlignment="0" applyProtection="0"/>
    <xf numFmtId="0" fontId="112" fillId="49" borderId="0" applyNumberFormat="0" applyBorder="0" applyAlignment="0" applyProtection="0"/>
    <xf numFmtId="0" fontId="124" fillId="17" borderId="0" applyNumberFormat="0" applyBorder="0" applyAlignment="0" applyProtection="0"/>
    <xf numFmtId="0" fontId="112" fillId="49" borderId="0" applyNumberFormat="0" applyBorder="0" applyAlignment="0" applyProtection="0"/>
    <xf numFmtId="0" fontId="112" fillId="49" borderId="0" applyNumberFormat="0" applyBorder="0" applyAlignment="0" applyProtection="0"/>
    <xf numFmtId="0" fontId="124" fillId="17" borderId="0" applyNumberFormat="0" applyBorder="0" applyAlignment="0" applyProtection="0"/>
    <xf numFmtId="0" fontId="112" fillId="50" borderId="0" applyNumberFormat="0" applyBorder="0" applyAlignment="0" applyProtection="0"/>
    <xf numFmtId="0" fontId="124" fillId="18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124" fillId="18" borderId="0" applyNumberFormat="0" applyBorder="0" applyAlignment="0" applyProtection="0"/>
    <xf numFmtId="0" fontId="112" fillId="51" borderId="0" applyNumberFormat="0" applyBorder="0" applyAlignment="0" applyProtection="0"/>
    <xf numFmtId="0" fontId="124" fillId="13" borderId="0" applyNumberFormat="0" applyBorder="0" applyAlignment="0" applyProtection="0"/>
    <xf numFmtId="0" fontId="112" fillId="51" borderId="0" applyNumberFormat="0" applyBorder="0" applyAlignment="0" applyProtection="0"/>
    <xf numFmtId="0" fontId="112" fillId="51" borderId="0" applyNumberFormat="0" applyBorder="0" applyAlignment="0" applyProtection="0"/>
    <xf numFmtId="0" fontId="124" fillId="13" borderId="0" applyNumberFormat="0" applyBorder="0" applyAlignment="0" applyProtection="0"/>
    <xf numFmtId="0" fontId="112" fillId="52" borderId="0" applyNumberFormat="0" applyBorder="0" applyAlignment="0" applyProtection="0"/>
    <xf numFmtId="0" fontId="124" fillId="14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24" fillId="14" borderId="0" applyNumberFormat="0" applyBorder="0" applyAlignment="0" applyProtection="0"/>
    <xf numFmtId="0" fontId="112" fillId="53" borderId="0" applyNumberFormat="0" applyBorder="0" applyAlignment="0" applyProtection="0"/>
    <xf numFmtId="0" fontId="124" fillId="19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24" fillId="19" borderId="0" applyNumberFormat="0" applyBorder="0" applyAlignment="0" applyProtection="0"/>
    <xf numFmtId="0" fontId="102" fillId="54" borderId="0" applyNumberFormat="0" applyBorder="0" applyAlignment="0" applyProtection="0"/>
    <xf numFmtId="0" fontId="125" fillId="3" borderId="0" applyNumberFormat="0" applyBorder="0" applyAlignment="0" applyProtection="0"/>
    <xf numFmtId="0" fontId="102" fillId="54" borderId="0" applyNumberFormat="0" applyBorder="0" applyAlignment="0" applyProtection="0"/>
    <xf numFmtId="0" fontId="102" fillId="54" borderId="0" applyNumberFormat="0" applyBorder="0" applyAlignment="0" applyProtection="0"/>
    <xf numFmtId="0" fontId="125" fillId="3" borderId="0" applyNumberFormat="0" applyBorder="0" applyAlignment="0" applyProtection="0"/>
    <xf numFmtId="0" fontId="106" fillId="55" borderId="32" applyNumberFormat="0" applyAlignment="0" applyProtection="0"/>
    <xf numFmtId="0" fontId="126" fillId="20" borderId="1" applyNumberFormat="0" applyAlignment="0" applyProtection="0"/>
    <xf numFmtId="0" fontId="106" fillId="55" borderId="32" applyNumberFormat="0" applyAlignment="0" applyProtection="0"/>
    <xf numFmtId="0" fontId="106" fillId="55" borderId="32" applyNumberFormat="0" applyAlignment="0" applyProtection="0"/>
    <xf numFmtId="0" fontId="126" fillId="20" borderId="1" applyNumberFormat="0" applyAlignment="0" applyProtection="0"/>
    <xf numFmtId="0" fontId="108" fillId="56" borderId="33" applyNumberFormat="0" applyAlignment="0" applyProtection="0"/>
    <xf numFmtId="0" fontId="127" fillId="21" borderId="2" applyNumberFormat="0" applyAlignment="0" applyProtection="0"/>
    <xf numFmtId="0" fontId="108" fillId="56" borderId="33" applyNumberFormat="0" applyAlignment="0" applyProtection="0"/>
    <xf numFmtId="0" fontId="108" fillId="56" borderId="33" applyNumberFormat="0" applyAlignment="0" applyProtection="0"/>
    <xf numFmtId="0" fontId="127" fillId="21" borderId="2" applyNumberFormat="0" applyAlignment="0" applyProtection="0"/>
    <xf numFmtId="0" fontId="11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1" fillId="57" borderId="0" applyNumberFormat="0" applyBorder="0" applyAlignment="0" applyProtection="0"/>
    <xf numFmtId="0" fontId="129" fillId="4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29" fillId="4" borderId="0" applyNumberFormat="0" applyBorder="0" applyAlignment="0" applyProtection="0"/>
    <xf numFmtId="0" fontId="68" fillId="0" borderId="34" applyNumberFormat="0" applyFill="0" applyAlignment="0" applyProtection="0"/>
    <xf numFmtId="0" fontId="39" fillId="0" borderId="3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39" fillId="0" borderId="3" applyNumberFormat="0" applyFill="0" applyAlignment="0" applyProtection="0"/>
    <xf numFmtId="0" fontId="69" fillId="0" borderId="35" applyNumberFormat="0" applyFill="0" applyAlignment="0" applyProtection="0"/>
    <xf numFmtId="0" fontId="40" fillId="0" borderId="4" applyNumberFormat="0" applyFill="0" applyAlignment="0" applyProtection="0"/>
    <xf numFmtId="0" fontId="69" fillId="0" borderId="35" applyNumberFormat="0" applyFill="0" applyAlignment="0" applyProtection="0"/>
    <xf numFmtId="0" fontId="69" fillId="0" borderId="35" applyNumberFormat="0" applyFill="0" applyAlignment="0" applyProtection="0"/>
    <xf numFmtId="0" fontId="40" fillId="0" borderId="4" applyNumberFormat="0" applyFill="0" applyAlignment="0" applyProtection="0"/>
    <xf numFmtId="0" fontId="70" fillId="0" borderId="36" applyNumberFormat="0" applyFill="0" applyAlignment="0" applyProtection="0"/>
    <xf numFmtId="0" fontId="41" fillId="0" borderId="5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41" fillId="0" borderId="5" applyNumberFormat="0" applyFill="0" applyAlignment="0" applyProtection="0"/>
    <xf numFmtId="0" fontId="7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4" fillId="58" borderId="32" applyNumberFormat="0" applyAlignment="0" applyProtection="0"/>
    <xf numFmtId="0" fontId="130" fillId="7" borderId="1" applyNumberFormat="0" applyAlignment="0" applyProtection="0"/>
    <xf numFmtId="0" fontId="104" fillId="58" borderId="32" applyNumberFormat="0" applyAlignment="0" applyProtection="0"/>
    <xf numFmtId="0" fontId="104" fillId="58" borderId="32" applyNumberFormat="0" applyAlignment="0" applyProtection="0"/>
    <xf numFmtId="0" fontId="130" fillId="7" borderId="1" applyNumberFormat="0" applyAlignment="0" applyProtection="0"/>
    <xf numFmtId="0" fontId="107" fillId="0" borderId="37" applyNumberFormat="0" applyFill="0" applyAlignment="0" applyProtection="0"/>
    <xf numFmtId="0" fontId="131" fillId="0" borderId="6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31" fillId="0" borderId="6" applyNumberFormat="0" applyFill="0" applyAlignment="0" applyProtection="0"/>
    <xf numFmtId="0" fontId="103" fillId="59" borderId="0" applyNumberFormat="0" applyBorder="0" applyAlignment="0" applyProtection="0"/>
    <xf numFmtId="0" fontId="132" fillId="22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32" fillId="22" borderId="0" applyNumberFormat="0" applyBorder="0" applyAlignment="0" applyProtection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24" fillId="0" borderId="0"/>
    <xf numFmtId="0" fontId="118" fillId="0" borderId="0"/>
    <xf numFmtId="0" fontId="24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0" fillId="60" borderId="38" applyNumberFormat="0" applyFont="0" applyAlignment="0" applyProtection="0"/>
    <xf numFmtId="0" fontId="119" fillId="23" borderId="7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19" fillId="23" borderId="7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05" fillId="55" borderId="39" applyNumberFormat="0" applyAlignment="0" applyProtection="0"/>
    <xf numFmtId="0" fontId="133" fillId="20" borderId="8" applyNumberFormat="0" applyAlignment="0" applyProtection="0"/>
    <xf numFmtId="0" fontId="105" fillId="55" borderId="39" applyNumberFormat="0" applyAlignment="0" applyProtection="0"/>
    <xf numFmtId="0" fontId="105" fillId="55" borderId="39" applyNumberFormat="0" applyAlignment="0" applyProtection="0"/>
    <xf numFmtId="0" fontId="133" fillId="20" borderId="8" applyNumberFormat="0" applyAlignment="0" applyProtection="0"/>
    <xf numFmtId="0" fontId="90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1" fillId="0" borderId="52" applyNumberFormat="0" applyFill="0" applyAlignment="0" applyProtection="0"/>
    <xf numFmtId="0" fontId="135" fillId="0" borderId="71" applyNumberFormat="0" applyFill="0" applyAlignment="0" applyProtection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35" fillId="0" borderId="71" applyNumberFormat="0" applyFill="0" applyAlignment="0" applyProtection="0"/>
    <xf numFmtId="0" fontId="109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43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8" fillId="0" borderId="34" applyNumberFormat="0" applyFill="0" applyAlignment="0" applyProtection="0"/>
    <xf numFmtId="0" fontId="139" fillId="0" borderId="35" applyNumberFormat="0" applyFill="0" applyAlignment="0" applyProtection="0"/>
    <xf numFmtId="0" fontId="140" fillId="0" borderId="36" applyNumberFormat="0" applyFill="0" applyAlignment="0" applyProtection="0"/>
    <xf numFmtId="0" fontId="140" fillId="0" borderId="0" applyNumberFormat="0" applyFill="0" applyBorder="0" applyAlignment="0" applyProtection="0"/>
    <xf numFmtId="0" fontId="141" fillId="57" borderId="0" applyNumberFormat="0" applyBorder="0" applyAlignment="0" applyProtection="0"/>
    <xf numFmtId="0" fontId="142" fillId="54" borderId="0" applyNumberFormat="0" applyBorder="0" applyAlignment="0" applyProtection="0"/>
    <xf numFmtId="0" fontId="143" fillId="59" borderId="0" applyNumberFormat="0" applyBorder="0" applyAlignment="0" applyProtection="0"/>
    <xf numFmtId="0" fontId="144" fillId="58" borderId="32" applyNumberFormat="0" applyAlignment="0" applyProtection="0"/>
    <xf numFmtId="0" fontId="145" fillId="55" borderId="39" applyNumberFormat="0" applyAlignment="0" applyProtection="0"/>
    <xf numFmtId="0" fontId="146" fillId="55" borderId="32" applyNumberFormat="0" applyAlignment="0" applyProtection="0"/>
    <xf numFmtId="0" fontId="147" fillId="0" borderId="37" applyNumberFormat="0" applyFill="0" applyAlignment="0" applyProtection="0"/>
    <xf numFmtId="0" fontId="148" fillId="56" borderId="33" applyNumberFormat="0" applyAlignment="0" applyProtection="0"/>
    <xf numFmtId="0" fontId="149" fillId="0" borderId="0" applyNumberFormat="0" applyFill="0" applyBorder="0" applyAlignment="0" applyProtection="0"/>
    <xf numFmtId="0" fontId="116" fillId="60" borderId="38" applyNumberFormat="0" applyFont="0" applyAlignment="0" applyProtection="0"/>
    <xf numFmtId="0" fontId="150" fillId="0" borderId="0" applyNumberFormat="0" applyFill="0" applyBorder="0" applyAlignment="0" applyProtection="0"/>
    <xf numFmtId="0" fontId="137" fillId="0" borderId="52" applyNumberFormat="0" applyFill="0" applyAlignment="0" applyProtection="0"/>
    <xf numFmtId="0" fontId="151" fillId="48" borderId="0" applyNumberFormat="0" applyBorder="0" applyAlignment="0" applyProtection="0"/>
    <xf numFmtId="0" fontId="116" fillId="30" borderId="0" applyNumberFormat="0" applyBorder="0" applyAlignment="0" applyProtection="0"/>
    <xf numFmtId="0" fontId="116" fillId="36" borderId="0" applyNumberFormat="0" applyBorder="0" applyAlignment="0" applyProtection="0"/>
    <xf numFmtId="0" fontId="151" fillId="42" borderId="0" applyNumberFormat="0" applyBorder="0" applyAlignment="0" applyProtection="0"/>
    <xf numFmtId="0" fontId="151" fillId="49" borderId="0" applyNumberFormat="0" applyBorder="0" applyAlignment="0" applyProtection="0"/>
    <xf numFmtId="0" fontId="116" fillId="31" borderId="0" applyNumberFormat="0" applyBorder="0" applyAlignment="0" applyProtection="0"/>
    <xf numFmtId="0" fontId="116" fillId="37" borderId="0" applyNumberFormat="0" applyBorder="0" applyAlignment="0" applyProtection="0"/>
    <xf numFmtId="0" fontId="151" fillId="43" borderId="0" applyNumberFormat="0" applyBorder="0" applyAlignment="0" applyProtection="0"/>
    <xf numFmtId="0" fontId="151" fillId="50" borderId="0" applyNumberFormat="0" applyBorder="0" applyAlignment="0" applyProtection="0"/>
    <xf numFmtId="0" fontId="116" fillId="32" borderId="0" applyNumberFormat="0" applyBorder="0" applyAlignment="0" applyProtection="0"/>
    <xf numFmtId="0" fontId="116" fillId="38" borderId="0" applyNumberFormat="0" applyBorder="0" applyAlignment="0" applyProtection="0"/>
    <xf numFmtId="0" fontId="151" fillId="44" borderId="0" applyNumberFormat="0" applyBorder="0" applyAlignment="0" applyProtection="0"/>
    <xf numFmtId="0" fontId="151" fillId="51" borderId="0" applyNumberFormat="0" applyBorder="0" applyAlignment="0" applyProtection="0"/>
    <xf numFmtId="0" fontId="116" fillId="33" borderId="0" applyNumberFormat="0" applyBorder="0" applyAlignment="0" applyProtection="0"/>
    <xf numFmtId="0" fontId="116" fillId="39" borderId="0" applyNumberFormat="0" applyBorder="0" applyAlignment="0" applyProtection="0"/>
    <xf numFmtId="0" fontId="151" fillId="45" borderId="0" applyNumberFormat="0" applyBorder="0" applyAlignment="0" applyProtection="0"/>
    <xf numFmtId="0" fontId="151" fillId="52" borderId="0" applyNumberFormat="0" applyBorder="0" applyAlignment="0" applyProtection="0"/>
    <xf numFmtId="0" fontId="116" fillId="34" borderId="0" applyNumberFormat="0" applyBorder="0" applyAlignment="0" applyProtection="0"/>
    <xf numFmtId="0" fontId="116" fillId="40" borderId="0" applyNumberFormat="0" applyBorder="0" applyAlignment="0" applyProtection="0"/>
    <xf numFmtId="0" fontId="151" fillId="46" borderId="0" applyNumberFormat="0" applyBorder="0" applyAlignment="0" applyProtection="0"/>
    <xf numFmtId="0" fontId="151" fillId="53" borderId="0" applyNumberFormat="0" applyBorder="0" applyAlignment="0" applyProtection="0"/>
    <xf numFmtId="0" fontId="116" fillId="35" borderId="0" applyNumberFormat="0" applyBorder="0" applyAlignment="0" applyProtection="0"/>
    <xf numFmtId="0" fontId="116" fillId="41" borderId="0" applyNumberFormat="0" applyBorder="0" applyAlignment="0" applyProtection="0"/>
    <xf numFmtId="0" fontId="151" fillId="47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0" fillId="0" borderId="0"/>
    <xf numFmtId="0" fontId="152" fillId="0" borderId="0"/>
    <xf numFmtId="0" fontId="10" fillId="0" borderId="0"/>
    <xf numFmtId="0" fontId="10" fillId="0" borderId="0"/>
    <xf numFmtId="43" fontId="2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6" fillId="0" borderId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6" fillId="30" borderId="0" applyNumberFormat="0" applyBorder="0" applyAlignment="0" applyProtection="0"/>
    <xf numFmtId="0" fontId="116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6" fillId="31" borderId="0" applyNumberFormat="0" applyBorder="0" applyAlignment="0" applyProtection="0"/>
    <xf numFmtId="0" fontId="11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16" fillId="32" borderId="0" applyNumberFormat="0" applyBorder="0" applyAlignment="0" applyProtection="0"/>
    <xf numFmtId="0" fontId="116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16" fillId="33" borderId="0" applyNumberFormat="0" applyBorder="0" applyAlignment="0" applyProtection="0"/>
    <xf numFmtId="0" fontId="116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16" fillId="35" borderId="0" applyNumberFormat="0" applyBorder="0" applyAlignment="0" applyProtection="0"/>
    <xf numFmtId="0" fontId="116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6" fillId="36" borderId="0" applyNumberFormat="0" applyBorder="0" applyAlignment="0" applyProtection="0"/>
    <xf numFmtId="0" fontId="116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16" fillId="37" borderId="0" applyNumberFormat="0" applyBorder="0" applyAlignment="0" applyProtection="0"/>
    <xf numFmtId="0" fontId="116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16" fillId="39" borderId="0" applyNumberFormat="0" applyBorder="0" applyAlignment="0" applyProtection="0"/>
    <xf numFmtId="0" fontId="116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6" fillId="40" borderId="0" applyNumberFormat="0" applyBorder="0" applyAlignment="0" applyProtection="0"/>
    <xf numFmtId="0" fontId="116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6" fillId="41" borderId="0" applyNumberFormat="0" applyBorder="0" applyAlignment="0" applyProtection="0"/>
    <xf numFmtId="0" fontId="116" fillId="41" borderId="0" applyNumberFormat="0" applyBorder="0" applyAlignment="0" applyProtection="0"/>
    <xf numFmtId="0" fontId="151" fillId="42" borderId="0" applyNumberFormat="0" applyBorder="0" applyAlignment="0" applyProtection="0"/>
    <xf numFmtId="0" fontId="151" fillId="43" borderId="0" applyNumberFormat="0" applyBorder="0" applyAlignment="0" applyProtection="0"/>
    <xf numFmtId="0" fontId="151" fillId="44" borderId="0" applyNumberFormat="0" applyBorder="0" applyAlignment="0" applyProtection="0"/>
    <xf numFmtId="0" fontId="151" fillId="45" borderId="0" applyNumberFormat="0" applyBorder="0" applyAlignment="0" applyProtection="0"/>
    <xf numFmtId="0" fontId="151" fillId="46" borderId="0" applyNumberFormat="0" applyBorder="0" applyAlignment="0" applyProtection="0"/>
    <xf numFmtId="0" fontId="151" fillId="47" borderId="0" applyNumberFormat="0" applyBorder="0" applyAlignment="0" applyProtection="0"/>
    <xf numFmtId="0" fontId="151" fillId="48" borderId="0" applyNumberFormat="0" applyBorder="0" applyAlignment="0" applyProtection="0"/>
    <xf numFmtId="0" fontId="151" fillId="49" borderId="0" applyNumberFormat="0" applyBorder="0" applyAlignment="0" applyProtection="0"/>
    <xf numFmtId="0" fontId="151" fillId="50" borderId="0" applyNumberFormat="0" applyBorder="0" applyAlignment="0" applyProtection="0"/>
    <xf numFmtId="0" fontId="151" fillId="51" borderId="0" applyNumberFormat="0" applyBorder="0" applyAlignment="0" applyProtection="0"/>
    <xf numFmtId="0" fontId="151" fillId="52" borderId="0" applyNumberFormat="0" applyBorder="0" applyAlignment="0" applyProtection="0"/>
    <xf numFmtId="0" fontId="151" fillId="53" borderId="0" applyNumberFormat="0" applyBorder="0" applyAlignment="0" applyProtection="0"/>
    <xf numFmtId="0" fontId="142" fillId="54" borderId="0" applyNumberFormat="0" applyBorder="0" applyAlignment="0" applyProtection="0"/>
    <xf numFmtId="0" fontId="146" fillId="55" borderId="32" applyNumberFormat="0" applyAlignment="0" applyProtection="0"/>
    <xf numFmtId="0" fontId="148" fillId="56" borderId="33" applyNumberFormat="0" applyAlignment="0" applyProtection="0"/>
    <xf numFmtId="0" fontId="150" fillId="0" borderId="0" applyNumberFormat="0" applyFill="0" applyBorder="0" applyAlignment="0" applyProtection="0"/>
    <xf numFmtId="0" fontId="141" fillId="57" borderId="0" applyNumberFormat="0" applyBorder="0" applyAlignment="0" applyProtection="0"/>
    <xf numFmtId="0" fontId="138" fillId="0" borderId="34" applyNumberFormat="0" applyFill="0" applyAlignment="0" applyProtection="0"/>
    <xf numFmtId="0" fontId="139" fillId="0" borderId="35" applyNumberFormat="0" applyFill="0" applyAlignment="0" applyProtection="0"/>
    <xf numFmtId="0" fontId="140" fillId="0" borderId="36" applyNumberFormat="0" applyFill="0" applyAlignment="0" applyProtection="0"/>
    <xf numFmtId="0" fontId="140" fillId="0" borderId="0" applyNumberFormat="0" applyFill="0" applyBorder="0" applyAlignment="0" applyProtection="0"/>
    <xf numFmtId="0" fontId="144" fillId="58" borderId="32" applyNumberFormat="0" applyAlignment="0" applyProtection="0"/>
    <xf numFmtId="0" fontId="147" fillId="0" borderId="37" applyNumberFormat="0" applyFill="0" applyAlignment="0" applyProtection="0"/>
    <xf numFmtId="0" fontId="143" fillId="59" borderId="0" applyNumberFormat="0" applyBorder="0" applyAlignment="0" applyProtection="0"/>
    <xf numFmtId="0" fontId="116" fillId="0" borderId="0"/>
    <xf numFmtId="0" fontId="10" fillId="60" borderId="38" applyNumberFormat="0" applyFont="0" applyAlignment="0" applyProtection="0"/>
    <xf numFmtId="0" fontId="10" fillId="60" borderId="38" applyNumberFormat="0" applyFont="0" applyAlignment="0" applyProtection="0"/>
    <xf numFmtId="0" fontId="116" fillId="60" borderId="38" applyNumberFormat="0" applyFont="0" applyAlignment="0" applyProtection="0"/>
    <xf numFmtId="0" fontId="116" fillId="60" borderId="38" applyNumberFormat="0" applyFont="0" applyAlignment="0" applyProtection="0"/>
    <xf numFmtId="0" fontId="145" fillId="55" borderId="39" applyNumberFormat="0" applyAlignment="0" applyProtection="0"/>
    <xf numFmtId="0" fontId="137" fillId="0" borderId="52" applyNumberFormat="0" applyFill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13" fillId="0" borderId="0"/>
    <xf numFmtId="0" fontId="153" fillId="0" borderId="0" applyNumberFormat="0" applyFill="0" applyBorder="0" applyAlignment="0" applyProtection="0"/>
    <xf numFmtId="0" fontId="119" fillId="2" borderId="0" applyNumberFormat="0" applyBorder="0" applyAlignment="0" applyProtection="0"/>
    <xf numFmtId="0" fontId="119" fillId="2" borderId="0" applyNumberFormat="0" applyBorder="0" applyAlignment="0" applyProtection="0"/>
    <xf numFmtId="0" fontId="119" fillId="2" borderId="0" applyNumberFormat="0" applyBorder="0" applyAlignment="0" applyProtection="0"/>
    <xf numFmtId="0" fontId="119" fillId="3" borderId="0" applyNumberFormat="0" applyBorder="0" applyAlignment="0" applyProtection="0"/>
    <xf numFmtId="0" fontId="119" fillId="3" borderId="0" applyNumberFormat="0" applyBorder="0" applyAlignment="0" applyProtection="0"/>
    <xf numFmtId="0" fontId="119" fillId="3" borderId="0" applyNumberFormat="0" applyBorder="0" applyAlignment="0" applyProtection="0"/>
    <xf numFmtId="0" fontId="119" fillId="4" borderId="0" applyNumberFormat="0" applyBorder="0" applyAlignment="0" applyProtection="0"/>
    <xf numFmtId="0" fontId="119" fillId="4" borderId="0" applyNumberFormat="0" applyBorder="0" applyAlignment="0" applyProtection="0"/>
    <xf numFmtId="0" fontId="119" fillId="4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6" borderId="0" applyNumberFormat="0" applyBorder="0" applyAlignment="0" applyProtection="0"/>
    <xf numFmtId="0" fontId="119" fillId="6" borderId="0" applyNumberFormat="0" applyBorder="0" applyAlignment="0" applyProtection="0"/>
    <xf numFmtId="0" fontId="119" fillId="6" borderId="0" applyNumberFormat="0" applyBorder="0" applyAlignment="0" applyProtection="0"/>
    <xf numFmtId="0" fontId="119" fillId="7" borderId="0" applyNumberFormat="0" applyBorder="0" applyAlignment="0" applyProtection="0"/>
    <xf numFmtId="0" fontId="119" fillId="7" borderId="0" applyNumberFormat="0" applyBorder="0" applyAlignment="0" applyProtection="0"/>
    <xf numFmtId="0" fontId="119" fillId="7" borderId="0" applyNumberFormat="0" applyBorder="0" applyAlignment="0" applyProtection="0"/>
    <xf numFmtId="0" fontId="119" fillId="8" borderId="0" applyNumberFormat="0" applyBorder="0" applyAlignment="0" applyProtection="0"/>
    <xf numFmtId="0" fontId="119" fillId="8" borderId="0" applyNumberFormat="0" applyBorder="0" applyAlignment="0" applyProtection="0"/>
    <xf numFmtId="0" fontId="119" fillId="8" borderId="0" applyNumberFormat="0" applyBorder="0" applyAlignment="0" applyProtection="0"/>
    <xf numFmtId="0" fontId="119" fillId="0" borderId="0"/>
    <xf numFmtId="0" fontId="116" fillId="0" borderId="0"/>
    <xf numFmtId="0" fontId="151" fillId="47" borderId="0" applyNumberFormat="0" applyBorder="0" applyAlignment="0" applyProtection="0"/>
    <xf numFmtId="0" fontId="116" fillId="41" borderId="0" applyNumberFormat="0" applyBorder="0" applyAlignment="0" applyProtection="0"/>
    <xf numFmtId="0" fontId="116" fillId="35" borderId="0" applyNumberFormat="0" applyBorder="0" applyAlignment="0" applyProtection="0"/>
    <xf numFmtId="0" fontId="151" fillId="53" borderId="0" applyNumberFormat="0" applyBorder="0" applyAlignment="0" applyProtection="0"/>
    <xf numFmtId="0" fontId="151" fillId="46" borderId="0" applyNumberFormat="0" applyBorder="0" applyAlignment="0" applyProtection="0"/>
    <xf numFmtId="0" fontId="116" fillId="40" borderId="0" applyNumberFormat="0" applyBorder="0" applyAlignment="0" applyProtection="0"/>
    <xf numFmtId="0" fontId="116" fillId="34" borderId="0" applyNumberFormat="0" applyBorder="0" applyAlignment="0" applyProtection="0"/>
    <xf numFmtId="0" fontId="151" fillId="52" borderId="0" applyNumberFormat="0" applyBorder="0" applyAlignment="0" applyProtection="0"/>
    <xf numFmtId="0" fontId="151" fillId="45" borderId="0" applyNumberFormat="0" applyBorder="0" applyAlignment="0" applyProtection="0"/>
    <xf numFmtId="0" fontId="116" fillId="39" borderId="0" applyNumberFormat="0" applyBorder="0" applyAlignment="0" applyProtection="0"/>
    <xf numFmtId="0" fontId="116" fillId="33" borderId="0" applyNumberFormat="0" applyBorder="0" applyAlignment="0" applyProtection="0"/>
    <xf numFmtId="0" fontId="116" fillId="38" borderId="0" applyNumberFormat="0" applyBorder="0" applyAlignment="0" applyProtection="0"/>
    <xf numFmtId="0" fontId="116" fillId="32" borderId="0" applyNumberFormat="0" applyBorder="0" applyAlignment="0" applyProtection="0"/>
    <xf numFmtId="0" fontId="151" fillId="50" borderId="0" applyNumberFormat="0" applyBorder="0" applyAlignment="0" applyProtection="0"/>
    <xf numFmtId="0" fontId="151" fillId="43" borderId="0" applyNumberFormat="0" applyBorder="0" applyAlignment="0" applyProtection="0"/>
    <xf numFmtId="0" fontId="116" fillId="37" borderId="0" applyNumberFormat="0" applyBorder="0" applyAlignment="0" applyProtection="0"/>
    <xf numFmtId="0" fontId="116" fillId="31" borderId="0" applyNumberFormat="0" applyBorder="0" applyAlignment="0" applyProtection="0"/>
    <xf numFmtId="0" fontId="151" fillId="49" borderId="0" applyNumberFormat="0" applyBorder="0" applyAlignment="0" applyProtection="0"/>
    <xf numFmtId="0" fontId="151" fillId="42" borderId="0" applyNumberFormat="0" applyBorder="0" applyAlignment="0" applyProtection="0"/>
    <xf numFmtId="0" fontId="116" fillId="36" borderId="0" applyNumberFormat="0" applyBorder="0" applyAlignment="0" applyProtection="0"/>
    <xf numFmtId="0" fontId="116" fillId="30" borderId="0" applyNumberFormat="0" applyBorder="0" applyAlignment="0" applyProtection="0"/>
    <xf numFmtId="0" fontId="151" fillId="48" borderId="0" applyNumberFormat="0" applyBorder="0" applyAlignment="0" applyProtection="0"/>
    <xf numFmtId="0" fontId="137" fillId="0" borderId="52" applyNumberFormat="0" applyFill="0" applyAlignment="0" applyProtection="0"/>
    <xf numFmtId="0" fontId="150" fillId="0" borderId="0" applyNumberFormat="0" applyFill="0" applyBorder="0" applyAlignment="0" applyProtection="0"/>
    <xf numFmtId="0" fontId="116" fillId="60" borderId="38" applyNumberFormat="0" applyFont="0" applyAlignment="0" applyProtection="0"/>
    <xf numFmtId="0" fontId="149" fillId="0" borderId="0" applyNumberFormat="0" applyFill="0" applyBorder="0" applyAlignment="0" applyProtection="0"/>
    <xf numFmtId="0" fontId="148" fillId="56" borderId="33" applyNumberFormat="0" applyAlignment="0" applyProtection="0"/>
    <xf numFmtId="0" fontId="147" fillId="0" borderId="37" applyNumberFormat="0" applyFill="0" applyAlignment="0" applyProtection="0"/>
    <xf numFmtId="0" fontId="146" fillId="55" borderId="32" applyNumberFormat="0" applyAlignment="0" applyProtection="0"/>
    <xf numFmtId="0" fontId="145" fillId="55" borderId="39" applyNumberFormat="0" applyAlignment="0" applyProtection="0"/>
    <xf numFmtId="0" fontId="144" fillId="58" borderId="32" applyNumberFormat="0" applyAlignment="0" applyProtection="0"/>
    <xf numFmtId="0" fontId="143" fillId="59" borderId="0" applyNumberFormat="0" applyBorder="0" applyAlignment="0" applyProtection="0"/>
    <xf numFmtId="0" fontId="142" fillId="54" borderId="0" applyNumberFormat="0" applyBorder="0" applyAlignment="0" applyProtection="0"/>
    <xf numFmtId="0" fontId="141" fillId="57" borderId="0" applyNumberFormat="0" applyBorder="0" applyAlignment="0" applyProtection="0"/>
    <xf numFmtId="0" fontId="140" fillId="0" borderId="0" applyNumberFormat="0" applyFill="0" applyBorder="0" applyAlignment="0" applyProtection="0"/>
    <xf numFmtId="0" fontId="140" fillId="0" borderId="36" applyNumberFormat="0" applyFill="0" applyAlignment="0" applyProtection="0"/>
    <xf numFmtId="0" fontId="139" fillId="0" borderId="35" applyNumberFormat="0" applyFill="0" applyAlignment="0" applyProtection="0"/>
    <xf numFmtId="0" fontId="138" fillId="0" borderId="34" applyNumberFormat="0" applyFill="0" applyAlignment="0" applyProtection="0"/>
    <xf numFmtId="9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0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16" fillId="0" borderId="0"/>
    <xf numFmtId="0" fontId="151" fillId="51" borderId="0" applyNumberFormat="0" applyBorder="0" applyAlignment="0" applyProtection="0"/>
    <xf numFmtId="0" fontId="151" fillId="44" borderId="0" applyNumberFormat="0" applyBorder="0" applyAlignment="0" applyProtection="0"/>
    <xf numFmtId="0" fontId="10" fillId="0" borderId="0"/>
    <xf numFmtId="43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0" fontId="138" fillId="0" borderId="34" applyNumberFormat="0" applyFill="0" applyAlignment="0" applyProtection="0"/>
    <xf numFmtId="0" fontId="139" fillId="0" borderId="35" applyNumberFormat="0" applyFill="0" applyAlignment="0" applyProtection="0"/>
    <xf numFmtId="0" fontId="140" fillId="0" borderId="36" applyNumberFormat="0" applyFill="0" applyAlignment="0" applyProtection="0"/>
    <xf numFmtId="0" fontId="140" fillId="0" borderId="0" applyNumberFormat="0" applyFill="0" applyBorder="0" applyAlignment="0" applyProtection="0"/>
    <xf numFmtId="0" fontId="141" fillId="57" borderId="0" applyNumberFormat="0" applyBorder="0" applyAlignment="0" applyProtection="0"/>
    <xf numFmtId="0" fontId="142" fillId="54" borderId="0" applyNumberFormat="0" applyBorder="0" applyAlignment="0" applyProtection="0"/>
    <xf numFmtId="0" fontId="143" fillId="59" borderId="0" applyNumberFormat="0" applyBorder="0" applyAlignment="0" applyProtection="0"/>
    <xf numFmtId="0" fontId="144" fillId="58" borderId="32" applyNumberFormat="0" applyAlignment="0" applyProtection="0"/>
    <xf numFmtId="0" fontId="145" fillId="55" borderId="39" applyNumberFormat="0" applyAlignment="0" applyProtection="0"/>
    <xf numFmtId="0" fontId="146" fillId="55" borderId="32" applyNumberFormat="0" applyAlignment="0" applyProtection="0"/>
    <xf numFmtId="0" fontId="147" fillId="0" borderId="37" applyNumberFormat="0" applyFill="0" applyAlignment="0" applyProtection="0"/>
    <xf numFmtId="0" fontId="148" fillId="56" borderId="33" applyNumberFormat="0" applyAlignment="0" applyProtection="0"/>
    <xf numFmtId="0" fontId="149" fillId="0" borderId="0" applyNumberFormat="0" applyFill="0" applyBorder="0" applyAlignment="0" applyProtection="0"/>
    <xf numFmtId="0" fontId="116" fillId="60" borderId="38" applyNumberFormat="0" applyFont="0" applyAlignment="0" applyProtection="0"/>
    <xf numFmtId="0" fontId="150" fillId="0" borderId="0" applyNumberFormat="0" applyFill="0" applyBorder="0" applyAlignment="0" applyProtection="0"/>
    <xf numFmtId="0" fontId="137" fillId="0" borderId="52" applyNumberFormat="0" applyFill="0" applyAlignment="0" applyProtection="0"/>
    <xf numFmtId="0" fontId="151" fillId="48" borderId="0" applyNumberFormat="0" applyBorder="0" applyAlignment="0" applyProtection="0"/>
    <xf numFmtId="0" fontId="116" fillId="30" borderId="0" applyNumberFormat="0" applyBorder="0" applyAlignment="0" applyProtection="0"/>
    <xf numFmtId="0" fontId="116" fillId="36" borderId="0" applyNumberFormat="0" applyBorder="0" applyAlignment="0" applyProtection="0"/>
    <xf numFmtId="0" fontId="151" fillId="42" borderId="0" applyNumberFormat="0" applyBorder="0" applyAlignment="0" applyProtection="0"/>
    <xf numFmtId="0" fontId="151" fillId="49" borderId="0" applyNumberFormat="0" applyBorder="0" applyAlignment="0" applyProtection="0"/>
    <xf numFmtId="0" fontId="116" fillId="31" borderId="0" applyNumberFormat="0" applyBorder="0" applyAlignment="0" applyProtection="0"/>
    <xf numFmtId="0" fontId="116" fillId="37" borderId="0" applyNumberFormat="0" applyBorder="0" applyAlignment="0" applyProtection="0"/>
    <xf numFmtId="0" fontId="151" fillId="43" borderId="0" applyNumberFormat="0" applyBorder="0" applyAlignment="0" applyProtection="0"/>
    <xf numFmtId="0" fontId="151" fillId="50" borderId="0" applyNumberFormat="0" applyBorder="0" applyAlignment="0" applyProtection="0"/>
    <xf numFmtId="0" fontId="116" fillId="32" borderId="0" applyNumberFormat="0" applyBorder="0" applyAlignment="0" applyProtection="0"/>
    <xf numFmtId="0" fontId="116" fillId="38" borderId="0" applyNumberFormat="0" applyBorder="0" applyAlignment="0" applyProtection="0"/>
    <xf numFmtId="0" fontId="151" fillId="44" borderId="0" applyNumberFormat="0" applyBorder="0" applyAlignment="0" applyProtection="0"/>
    <xf numFmtId="0" fontId="151" fillId="51" borderId="0" applyNumberFormat="0" applyBorder="0" applyAlignment="0" applyProtection="0"/>
    <xf numFmtId="0" fontId="116" fillId="33" borderId="0" applyNumberFormat="0" applyBorder="0" applyAlignment="0" applyProtection="0"/>
    <xf numFmtId="0" fontId="116" fillId="39" borderId="0" applyNumberFormat="0" applyBorder="0" applyAlignment="0" applyProtection="0"/>
    <xf numFmtId="0" fontId="151" fillId="45" borderId="0" applyNumberFormat="0" applyBorder="0" applyAlignment="0" applyProtection="0"/>
    <xf numFmtId="0" fontId="151" fillId="52" borderId="0" applyNumberFormat="0" applyBorder="0" applyAlignment="0" applyProtection="0"/>
    <xf numFmtId="0" fontId="116" fillId="34" borderId="0" applyNumberFormat="0" applyBorder="0" applyAlignment="0" applyProtection="0"/>
    <xf numFmtId="0" fontId="116" fillId="40" borderId="0" applyNumberFormat="0" applyBorder="0" applyAlignment="0" applyProtection="0"/>
    <xf numFmtId="0" fontId="151" fillId="46" borderId="0" applyNumberFormat="0" applyBorder="0" applyAlignment="0" applyProtection="0"/>
    <xf numFmtId="0" fontId="151" fillId="53" borderId="0" applyNumberFormat="0" applyBorder="0" applyAlignment="0" applyProtection="0"/>
    <xf numFmtId="0" fontId="116" fillId="35" borderId="0" applyNumberFormat="0" applyBorder="0" applyAlignment="0" applyProtection="0"/>
    <xf numFmtId="0" fontId="116" fillId="41" borderId="0" applyNumberFormat="0" applyBorder="0" applyAlignment="0" applyProtection="0"/>
    <xf numFmtId="0" fontId="151" fillId="47" borderId="0" applyNumberFormat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19" fillId="2" borderId="0" applyNumberFormat="0" applyBorder="0" applyAlignment="0" applyProtection="0"/>
    <xf numFmtId="0" fontId="1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19" fillId="2" borderId="0" applyNumberFormat="0" applyBorder="0" applyAlignment="0" applyProtection="0"/>
    <xf numFmtId="0" fontId="119" fillId="2" borderId="0" applyNumberFormat="0" applyBorder="0" applyAlignment="0" applyProtection="0"/>
    <xf numFmtId="0" fontId="1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19" fillId="3" borderId="0" applyNumberFormat="0" applyBorder="0" applyAlignment="0" applyProtection="0"/>
    <xf numFmtId="0" fontId="1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19" fillId="3" borderId="0" applyNumberFormat="0" applyBorder="0" applyAlignment="0" applyProtection="0"/>
    <xf numFmtId="0" fontId="119" fillId="3" borderId="0" applyNumberFormat="0" applyBorder="0" applyAlignment="0" applyProtection="0"/>
    <xf numFmtId="0" fontId="1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19" fillId="4" borderId="0" applyNumberFormat="0" applyBorder="0" applyAlignment="0" applyProtection="0"/>
    <xf numFmtId="0" fontId="1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19" fillId="4" borderId="0" applyNumberFormat="0" applyBorder="0" applyAlignment="0" applyProtection="0"/>
    <xf numFmtId="0" fontId="119" fillId="4" borderId="0" applyNumberFormat="0" applyBorder="0" applyAlignment="0" applyProtection="0"/>
    <xf numFmtId="0" fontId="1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19" fillId="6" borderId="0" applyNumberFormat="0" applyBorder="0" applyAlignment="0" applyProtection="0"/>
    <xf numFmtId="0" fontId="1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19" fillId="6" borderId="0" applyNumberFormat="0" applyBorder="0" applyAlignment="0" applyProtection="0"/>
    <xf numFmtId="0" fontId="119" fillId="6" borderId="0" applyNumberFormat="0" applyBorder="0" applyAlignment="0" applyProtection="0"/>
    <xf numFmtId="0" fontId="1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19" fillId="7" borderId="0" applyNumberFormat="0" applyBorder="0" applyAlignment="0" applyProtection="0"/>
    <xf numFmtId="0" fontId="1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19" fillId="7" borderId="0" applyNumberFormat="0" applyBorder="0" applyAlignment="0" applyProtection="0"/>
    <xf numFmtId="0" fontId="119" fillId="7" borderId="0" applyNumberFormat="0" applyBorder="0" applyAlignment="0" applyProtection="0"/>
    <xf numFmtId="0" fontId="1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19" fillId="8" borderId="0" applyNumberFormat="0" applyBorder="0" applyAlignment="0" applyProtection="0"/>
    <xf numFmtId="0" fontId="1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19" fillId="8" borderId="0" applyNumberFormat="0" applyBorder="0" applyAlignment="0" applyProtection="0"/>
    <xf numFmtId="0" fontId="119" fillId="8" borderId="0" applyNumberFormat="0" applyBorder="0" applyAlignment="0" applyProtection="0"/>
    <xf numFmtId="0" fontId="1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19" fillId="9" borderId="0" applyNumberFormat="0" applyBorder="0" applyAlignment="0" applyProtection="0"/>
    <xf numFmtId="0" fontId="1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19" fillId="9" borderId="0" applyNumberFormat="0" applyBorder="0" applyAlignment="0" applyProtection="0"/>
    <xf numFmtId="0" fontId="119" fillId="9" borderId="0" applyNumberFormat="0" applyBorder="0" applyAlignment="0" applyProtection="0"/>
    <xf numFmtId="0" fontId="1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19" fillId="10" borderId="0" applyNumberFormat="0" applyBorder="0" applyAlignment="0" applyProtection="0"/>
    <xf numFmtId="0" fontId="1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19" fillId="10" borderId="0" applyNumberFormat="0" applyBorder="0" applyAlignment="0" applyProtection="0"/>
    <xf numFmtId="0" fontId="119" fillId="10" borderId="0" applyNumberFormat="0" applyBorder="0" applyAlignment="0" applyProtection="0"/>
    <xf numFmtId="0" fontId="1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19" fillId="8" borderId="0" applyNumberFormat="0" applyBorder="0" applyAlignment="0" applyProtection="0"/>
    <xf numFmtId="0" fontId="1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19" fillId="8" borderId="0" applyNumberFormat="0" applyBorder="0" applyAlignment="0" applyProtection="0"/>
    <xf numFmtId="0" fontId="119" fillId="8" borderId="0" applyNumberFormat="0" applyBorder="0" applyAlignment="0" applyProtection="0"/>
    <xf numFmtId="0" fontId="1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19" fillId="11" borderId="0" applyNumberFormat="0" applyBorder="0" applyAlignment="0" applyProtection="0"/>
    <xf numFmtId="0" fontId="1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19" fillId="11" borderId="0" applyNumberFormat="0" applyBorder="0" applyAlignment="0" applyProtection="0"/>
    <xf numFmtId="0" fontId="119" fillId="11" borderId="0" applyNumberFormat="0" applyBorder="0" applyAlignment="0" applyProtection="0"/>
    <xf numFmtId="0" fontId="1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24" fillId="12" borderId="0" applyNumberFormat="0" applyBorder="0" applyAlignment="0" applyProtection="0"/>
    <xf numFmtId="0" fontId="124" fillId="9" borderId="0" applyNumberFormat="0" applyBorder="0" applyAlignment="0" applyProtection="0"/>
    <xf numFmtId="0" fontId="124" fillId="10" borderId="0" applyNumberFormat="0" applyBorder="0" applyAlignment="0" applyProtection="0"/>
    <xf numFmtId="0" fontId="124" fillId="13" borderId="0" applyNumberFormat="0" applyBorder="0" applyAlignment="0" applyProtection="0"/>
    <xf numFmtId="0" fontId="124" fillId="14" borderId="0" applyNumberFormat="0" applyBorder="0" applyAlignment="0" applyProtection="0"/>
    <xf numFmtId="0" fontId="124" fillId="15" borderId="0" applyNumberFormat="0" applyBorder="0" applyAlignment="0" applyProtection="0"/>
    <xf numFmtId="0" fontId="124" fillId="16" borderId="0" applyNumberFormat="0" applyBorder="0" applyAlignment="0" applyProtection="0"/>
    <xf numFmtId="0" fontId="124" fillId="17" borderId="0" applyNumberFormat="0" applyBorder="0" applyAlignment="0" applyProtection="0"/>
    <xf numFmtId="0" fontId="124" fillId="18" borderId="0" applyNumberFormat="0" applyBorder="0" applyAlignment="0" applyProtection="0"/>
    <xf numFmtId="0" fontId="124" fillId="13" borderId="0" applyNumberFormat="0" applyBorder="0" applyAlignment="0" applyProtection="0"/>
    <xf numFmtId="0" fontId="124" fillId="14" borderId="0" applyNumberFormat="0" applyBorder="0" applyAlignment="0" applyProtection="0"/>
    <xf numFmtId="0" fontId="124" fillId="19" borderId="0" applyNumberFormat="0" applyBorder="0" applyAlignment="0" applyProtection="0"/>
    <xf numFmtId="0" fontId="125" fillId="3" borderId="0" applyNumberFormat="0" applyBorder="0" applyAlignment="0" applyProtection="0"/>
    <xf numFmtId="0" fontId="126" fillId="20" borderId="1" applyNumberFormat="0" applyAlignment="0" applyProtection="0"/>
    <xf numFmtId="0" fontId="127" fillId="21" borderId="2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19" fillId="2" borderId="0" applyNumberFormat="0" applyBorder="0" applyAlignment="0" applyProtection="0"/>
    <xf numFmtId="0" fontId="119" fillId="2" borderId="0" applyNumberFormat="0" applyBorder="0" applyAlignment="0" applyProtection="0"/>
    <xf numFmtId="0" fontId="1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19" fillId="3" borderId="0" applyNumberFormat="0" applyBorder="0" applyAlignment="0" applyProtection="0"/>
    <xf numFmtId="0" fontId="1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19" fillId="4" borderId="0" applyNumberFormat="0" applyBorder="0" applyAlignment="0" applyProtection="0"/>
    <xf numFmtId="0" fontId="1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19" fillId="5" borderId="0" applyNumberFormat="0" applyBorder="0" applyAlignment="0" applyProtection="0"/>
    <xf numFmtId="0" fontId="1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19" fillId="6" borderId="0" applyNumberFormat="0" applyBorder="0" applyAlignment="0" applyProtection="0"/>
    <xf numFmtId="0" fontId="1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19" fillId="7" borderId="0" applyNumberFormat="0" applyBorder="0" applyAlignment="0" applyProtection="0"/>
    <xf numFmtId="0" fontId="1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19" fillId="8" borderId="0" applyNumberFormat="0" applyBorder="0" applyAlignment="0" applyProtection="0"/>
    <xf numFmtId="0" fontId="1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19" fillId="9" borderId="0" applyNumberFormat="0" applyBorder="0" applyAlignment="0" applyProtection="0"/>
    <xf numFmtId="0" fontId="1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8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599">
    <xf numFmtId="0" fontId="0" fillId="0" borderId="0" xfId="0"/>
    <xf numFmtId="0" fontId="34" fillId="0" borderId="0" xfId="2950" applyFont="1" applyBorder="1" applyAlignment="1" applyProtection="1">
      <alignment horizontal="centerContinuous" vertical="center"/>
      <protection locked="0"/>
    </xf>
    <xf numFmtId="0" fontId="24" fillId="0" borderId="0" xfId="2950" applyAlignment="1" applyProtection="1">
      <alignment horizontal="centerContinuous"/>
      <protection locked="0"/>
    </xf>
    <xf numFmtId="0" fontId="24" fillId="0" borderId="0" xfId="2950" applyFont="1" applyAlignment="1" applyProtection="1">
      <alignment horizontal="centerContinuous"/>
      <protection locked="0"/>
    </xf>
    <xf numFmtId="0" fontId="24" fillId="0" borderId="0" xfId="2950"/>
    <xf numFmtId="0" fontId="28" fillId="0" borderId="0" xfId="2950" applyFont="1" applyBorder="1" applyAlignment="1" applyProtection="1">
      <alignment horizontal="centerContinuous" vertical="center"/>
      <protection locked="0"/>
    </xf>
    <xf numFmtId="0" fontId="31" fillId="0" borderId="0" xfId="2950" applyFont="1" applyAlignment="1" applyProtection="1">
      <alignment horizontal="centerContinuous"/>
      <protection locked="0"/>
    </xf>
    <xf numFmtId="170" fontId="28" fillId="0" borderId="9" xfId="2950" applyNumberFormat="1" applyFont="1" applyFill="1" applyBorder="1" applyAlignment="1" applyProtection="1">
      <alignment horizontal="center"/>
      <protection locked="0"/>
    </xf>
    <xf numFmtId="0" fontId="28" fillId="0" borderId="9" xfId="2950" applyFont="1" applyFill="1" applyBorder="1" applyProtection="1">
      <protection locked="0"/>
    </xf>
    <xf numFmtId="0" fontId="24" fillId="0" borderId="0" xfId="2950" applyProtection="1">
      <protection locked="0"/>
    </xf>
    <xf numFmtId="170" fontId="24" fillId="0" borderId="0" xfId="2950" applyNumberFormat="1" applyAlignment="1" applyProtection="1">
      <alignment horizontal="center"/>
      <protection locked="0"/>
    </xf>
    <xf numFmtId="0" fontId="28" fillId="0" borderId="0" xfId="2950" applyFont="1" applyBorder="1" applyProtection="1">
      <protection locked="0"/>
    </xf>
    <xf numFmtId="3" fontId="24" fillId="0" borderId="0" xfId="1513" applyFont="1" applyBorder="1" applyProtection="1">
      <protection locked="0"/>
    </xf>
    <xf numFmtId="0" fontId="24" fillId="0" borderId="0" xfId="2950" applyFont="1" applyProtection="1">
      <protection locked="0"/>
    </xf>
    <xf numFmtId="170" fontId="33" fillId="0" borderId="0" xfId="2950" applyNumberFormat="1" applyFont="1" applyAlignment="1" applyProtection="1">
      <alignment horizontal="center"/>
      <protection locked="0"/>
    </xf>
    <xf numFmtId="0" fontId="36" fillId="0" borderId="0" xfId="2950" applyFont="1" applyBorder="1" applyProtection="1">
      <protection locked="0"/>
    </xf>
    <xf numFmtId="0" fontId="33" fillId="0" borderId="0" xfId="2950" applyFont="1" applyProtection="1">
      <protection locked="0"/>
    </xf>
    <xf numFmtId="0" fontId="32" fillId="0" borderId="0" xfId="2950" applyFont="1" applyBorder="1" applyProtection="1">
      <protection locked="0"/>
    </xf>
    <xf numFmtId="3" fontId="36" fillId="0" borderId="0" xfId="1513" applyFont="1" applyFill="1" applyBorder="1" applyProtection="1">
      <protection locked="0"/>
    </xf>
    <xf numFmtId="170" fontId="33" fillId="0" borderId="0" xfId="2950" applyNumberFormat="1" applyFont="1" applyAlignment="1" applyProtection="1">
      <alignment horizontal="center" vertical="top"/>
      <protection locked="0"/>
    </xf>
    <xf numFmtId="0" fontId="36" fillId="0" borderId="0" xfId="2950" applyFont="1" applyBorder="1" applyAlignment="1" applyProtection="1">
      <alignment vertical="top" wrapText="1"/>
      <protection locked="0"/>
    </xf>
    <xf numFmtId="0" fontId="33" fillId="0" borderId="0" xfId="2950" applyFont="1" applyAlignment="1" applyProtection="1">
      <alignment wrapText="1"/>
      <protection locked="0"/>
    </xf>
    <xf numFmtId="171" fontId="36" fillId="0" borderId="0" xfId="2264" applyFont="1" applyBorder="1" applyProtection="1">
      <protection locked="0"/>
    </xf>
    <xf numFmtId="0" fontId="24" fillId="0" borderId="0" xfId="2264" applyNumberFormat="1" applyFont="1" applyBorder="1" applyProtection="1">
      <protection locked="0"/>
    </xf>
    <xf numFmtId="0" fontId="28" fillId="0" borderId="16" xfId="2950" applyFont="1" applyBorder="1" applyProtection="1">
      <protection locked="0"/>
    </xf>
    <xf numFmtId="0" fontId="24" fillId="0" borderId="16" xfId="2950" applyBorder="1" applyProtection="1">
      <protection locked="0"/>
    </xf>
    <xf numFmtId="0" fontId="36" fillId="0" borderId="16" xfId="2950" applyFont="1" applyBorder="1" applyProtection="1">
      <protection locked="0"/>
    </xf>
    <xf numFmtId="0" fontId="36" fillId="0" borderId="0" xfId="2950" applyFont="1" applyBorder="1" applyAlignment="1" applyProtection="1">
      <alignment wrapText="1"/>
      <protection locked="0"/>
    </xf>
    <xf numFmtId="0" fontId="28" fillId="0" borderId="0" xfId="2950" applyFont="1" applyProtection="1">
      <protection locked="0"/>
    </xf>
    <xf numFmtId="0" fontId="0" fillId="24" borderId="0" xfId="0" applyFill="1"/>
    <xf numFmtId="0" fontId="23" fillId="0" borderId="0" xfId="0" applyFont="1" applyAlignment="1"/>
    <xf numFmtId="0" fontId="22" fillId="0" borderId="0" xfId="0" applyFont="1" applyAlignment="1"/>
    <xf numFmtId="0" fontId="53" fillId="0" borderId="0" xfId="0" applyFont="1"/>
    <xf numFmtId="0" fontId="54" fillId="61" borderId="0" xfId="0" applyFont="1" applyFill="1"/>
    <xf numFmtId="0" fontId="0" fillId="61" borderId="0" xfId="0" applyFill="1"/>
    <xf numFmtId="0" fontId="55" fillId="0" borderId="0" xfId="0" applyFont="1"/>
    <xf numFmtId="3" fontId="24" fillId="0" borderId="0" xfId="1513" applyFont="1" applyProtection="1">
      <protection locked="0"/>
    </xf>
    <xf numFmtId="3" fontId="24" fillId="0" borderId="0" xfId="1513" applyFont="1" applyFill="1" applyProtection="1">
      <protection locked="0"/>
    </xf>
    <xf numFmtId="3" fontId="33" fillId="0" borderId="0" xfId="1513" applyFont="1" applyFill="1" applyProtection="1">
      <protection locked="0"/>
    </xf>
    <xf numFmtId="171" fontId="33" fillId="0" borderId="0" xfId="2264" applyFont="1" applyProtection="1">
      <protection locked="0"/>
    </xf>
    <xf numFmtId="0" fontId="24" fillId="0" borderId="0" xfId="2264" applyNumberFormat="1" applyFont="1" applyProtection="1">
      <protection locked="0"/>
    </xf>
    <xf numFmtId="171" fontId="24" fillId="0" borderId="0" xfId="2264" applyFont="1" applyFill="1" applyProtection="1">
      <protection locked="0"/>
    </xf>
    <xf numFmtId="41" fontId="27" fillId="0" borderId="0" xfId="0" applyNumberFormat="1" applyFont="1"/>
    <xf numFmtId="0" fontId="21" fillId="0" borderId="0" xfId="0" applyFont="1"/>
    <xf numFmtId="0" fontId="0" fillId="0" borderId="0" xfId="0"/>
    <xf numFmtId="0" fontId="80" fillId="0" borderId="0" xfId="0" applyFont="1" applyAlignment="1">
      <alignment horizontal="center"/>
    </xf>
    <xf numFmtId="0" fontId="79" fillId="0" borderId="0" xfId="0" applyFont="1" applyAlignment="1">
      <alignment horizontal="center"/>
    </xf>
    <xf numFmtId="0" fontId="33" fillId="0" borderId="0" xfId="2920" applyFont="1"/>
    <xf numFmtId="0" fontId="33" fillId="0" borderId="0" xfId="2511" applyFont="1"/>
    <xf numFmtId="0" fontId="33" fillId="0" borderId="0" xfId="2432" applyFont="1"/>
    <xf numFmtId="0" fontId="33" fillId="0" borderId="0" xfId="2511" applyFont="1" applyFill="1"/>
    <xf numFmtId="0" fontId="81" fillId="0" borderId="0" xfId="2432" applyFont="1" applyAlignment="1">
      <alignment vertical="center"/>
    </xf>
    <xf numFmtId="0" fontId="33" fillId="0" borderId="0" xfId="2920" applyFont="1" applyFill="1"/>
    <xf numFmtId="0" fontId="81" fillId="0" borderId="0" xfId="2432" applyFont="1"/>
    <xf numFmtId="10" fontId="33" fillId="61" borderId="0" xfId="2511" applyNumberFormat="1" applyFont="1" applyFill="1"/>
    <xf numFmtId="37" fontId="33" fillId="0" borderId="0" xfId="2590" applyNumberFormat="1" applyFont="1" applyBorder="1" applyAlignment="1">
      <alignment vertical="center"/>
    </xf>
    <xf numFmtId="0" fontId="81" fillId="76" borderId="0" xfId="0" applyFont="1" applyFill="1" applyAlignment="1">
      <alignment horizontal="center"/>
    </xf>
    <xf numFmtId="0" fontId="81" fillId="73" borderId="0" xfId="0" applyFont="1" applyFill="1" applyAlignment="1">
      <alignment horizontal="center"/>
    </xf>
    <xf numFmtId="37" fontId="81" fillId="73" borderId="0" xfId="2590" applyNumberFormat="1" applyFont="1" applyFill="1" applyBorder="1" applyAlignment="1">
      <alignment horizontal="center" vertical="center"/>
    </xf>
    <xf numFmtId="177" fontId="81" fillId="73" borderId="18" xfId="2590" applyNumberFormat="1" applyFont="1" applyFill="1" applyBorder="1" applyAlignment="1">
      <alignment horizontal="center" vertical="center"/>
    </xf>
    <xf numFmtId="0" fontId="82" fillId="0" borderId="0" xfId="2511" applyFont="1"/>
    <xf numFmtId="0" fontId="33" fillId="0" borderId="0" xfId="2438" applyFont="1"/>
    <xf numFmtId="0" fontId="81" fillId="0" borderId="0" xfId="0" applyFont="1" applyFill="1"/>
    <xf numFmtId="0" fontId="33" fillId="0" borderId="0" xfId="0" applyFont="1" applyFill="1"/>
    <xf numFmtId="0" fontId="81" fillId="70" borderId="0" xfId="0" applyFont="1" applyFill="1" applyAlignment="1">
      <alignment horizontal="center"/>
    </xf>
    <xf numFmtId="0" fontId="83" fillId="0" borderId="0" xfId="0" applyFont="1" applyAlignment="1">
      <alignment horizontal="center"/>
    </xf>
    <xf numFmtId="166" fontId="33" fillId="0" borderId="0" xfId="0" applyNumberFormat="1" applyFont="1"/>
    <xf numFmtId="5" fontId="81" fillId="0" borderId="0" xfId="0" applyNumberFormat="1" applyFont="1"/>
    <xf numFmtId="0" fontId="81" fillId="0" borderId="0" xfId="0" applyFont="1"/>
    <xf numFmtId="173" fontId="33" fillId="0" borderId="0" xfId="0" applyNumberFormat="1" applyFont="1"/>
    <xf numFmtId="173" fontId="81" fillId="0" borderId="0" xfId="0" applyNumberFormat="1" applyFont="1"/>
    <xf numFmtId="0" fontId="85" fillId="0" borderId="0" xfId="0" applyFont="1" applyAlignment="1">
      <alignment horizontal="center"/>
    </xf>
    <xf numFmtId="5" fontId="33" fillId="0" borderId="0" xfId="0" applyNumberFormat="1" applyFont="1"/>
    <xf numFmtId="5" fontId="33" fillId="0" borderId="0" xfId="0" applyNumberFormat="1" applyFont="1" applyFill="1"/>
    <xf numFmtId="0" fontId="33" fillId="0" borderId="51" xfId="0" applyFont="1" applyBorder="1"/>
    <xf numFmtId="1" fontId="85" fillId="0" borderId="0" xfId="2920" applyNumberFormat="1" applyFont="1" applyAlignment="1">
      <alignment horizontal="centerContinuous" vertical="center"/>
    </xf>
    <xf numFmtId="0" fontId="33" fillId="0" borderId="0" xfId="3158" applyFont="1" applyAlignment="1">
      <alignment horizontal="center" vertical="center"/>
    </xf>
    <xf numFmtId="0" fontId="85" fillId="0" borderId="0" xfId="2920" applyFont="1" applyAlignment="1">
      <alignment vertical="center"/>
    </xf>
    <xf numFmtId="0" fontId="84" fillId="0" borderId="0" xfId="3158" applyFont="1" applyAlignment="1">
      <alignment horizontal="center" vertical="center"/>
    </xf>
    <xf numFmtId="0" fontId="85" fillId="0" borderId="0" xfId="2920" applyFont="1" applyAlignment="1">
      <alignment horizontal="center" vertical="center"/>
    </xf>
    <xf numFmtId="0" fontId="33" fillId="71" borderId="0" xfId="2920" applyFont="1" applyFill="1" applyAlignment="1">
      <alignment vertical="center"/>
    </xf>
    <xf numFmtId="0" fontId="33" fillId="71" borderId="0" xfId="2920" applyFont="1" applyFill="1" applyAlignment="1">
      <alignment horizontal="center" vertical="center"/>
    </xf>
    <xf numFmtId="175" fontId="33" fillId="71" borderId="0" xfId="3601" applyNumberFormat="1" applyFont="1" applyFill="1" applyAlignment="1">
      <alignment vertical="center"/>
    </xf>
    <xf numFmtId="0" fontId="33" fillId="71" borderId="0" xfId="2920" quotePrefix="1" applyFont="1" applyFill="1" applyAlignment="1">
      <alignment horizontal="center" vertical="center"/>
    </xf>
    <xf numFmtId="0" fontId="33" fillId="0" borderId="0" xfId="2920" applyFont="1" applyAlignment="1">
      <alignment vertical="center"/>
    </xf>
    <xf numFmtId="174" fontId="33" fillId="0" borderId="30" xfId="3364" applyNumberFormat="1" applyFont="1" applyBorder="1" applyAlignment="1">
      <alignment vertical="center"/>
    </xf>
    <xf numFmtId="175" fontId="33" fillId="0" borderId="0" xfId="3601" applyNumberFormat="1" applyFont="1" applyFill="1" applyAlignment="1">
      <alignment vertical="center"/>
    </xf>
    <xf numFmtId="0" fontId="85" fillId="0" borderId="0" xfId="2432" applyFont="1" applyAlignment="1">
      <alignment vertical="center"/>
    </xf>
    <xf numFmtId="0" fontId="33" fillId="0" borderId="0" xfId="2432" applyFont="1" applyAlignment="1">
      <alignment vertical="center"/>
    </xf>
    <xf numFmtId="5" fontId="81" fillId="0" borderId="0" xfId="2590" applyNumberFormat="1" applyFont="1" applyFill="1" applyAlignment="1">
      <alignment vertical="center"/>
    </xf>
    <xf numFmtId="37" fontId="81" fillId="0" borderId="0" xfId="2590" applyNumberFormat="1" applyFont="1" applyAlignment="1">
      <alignment horizontal="center" vertical="center"/>
    </xf>
    <xf numFmtId="37" fontId="33" fillId="0" borderId="0" xfId="2590" applyNumberFormat="1" applyFont="1" applyFill="1" applyAlignment="1">
      <alignment vertical="center"/>
    </xf>
    <xf numFmtId="10" fontId="33" fillId="24" borderId="0" xfId="2590" applyNumberFormat="1" applyFont="1" applyFill="1" applyAlignment="1">
      <alignment vertical="center"/>
    </xf>
    <xf numFmtId="37" fontId="33" fillId="0" borderId="0" xfId="2590" applyNumberFormat="1" applyFont="1" applyFill="1" applyBorder="1" applyAlignment="1">
      <alignment vertical="center"/>
    </xf>
    <xf numFmtId="5" fontId="81" fillId="0" borderId="30" xfId="2590" applyNumberFormat="1" applyFont="1" applyBorder="1" applyAlignment="1">
      <alignment vertical="center"/>
    </xf>
    <xf numFmtId="37" fontId="33" fillId="0" borderId="0" xfId="2590" applyNumberFormat="1" applyFont="1" applyAlignment="1">
      <alignment vertical="center"/>
    </xf>
    <xf numFmtId="5" fontId="81" fillId="0" borderId="0" xfId="2590" applyNumberFormat="1" applyFont="1" applyAlignment="1">
      <alignment vertical="center"/>
    </xf>
    <xf numFmtId="166" fontId="81" fillId="0" borderId="30" xfId="2590" applyNumberFormat="1" applyFont="1" applyBorder="1" applyAlignment="1">
      <alignment vertical="center"/>
    </xf>
    <xf numFmtId="5" fontId="81" fillId="0" borderId="0" xfId="2590" applyNumberFormat="1" applyFont="1" applyFill="1" applyBorder="1" applyAlignment="1">
      <alignment vertical="center"/>
    </xf>
    <xf numFmtId="37" fontId="33" fillId="61" borderId="0" xfId="2590" applyNumberFormat="1" applyFont="1" applyFill="1" applyBorder="1" applyAlignment="1">
      <alignment vertical="center"/>
    </xf>
    <xf numFmtId="5" fontId="81" fillId="76" borderId="30" xfId="2590" applyNumberFormat="1" applyFont="1" applyFill="1" applyBorder="1" applyAlignment="1">
      <alignment vertical="center"/>
    </xf>
    <xf numFmtId="0" fontId="85" fillId="0" borderId="0" xfId="0" applyFont="1"/>
    <xf numFmtId="6" fontId="33" fillId="78" borderId="0" xfId="3522" applyNumberFormat="1" applyFont="1" applyFill="1" applyAlignment="1">
      <alignment vertical="center"/>
    </xf>
    <xf numFmtId="6" fontId="33" fillId="78" borderId="0" xfId="3522" applyNumberFormat="1" applyFont="1" applyFill="1" applyBorder="1" applyAlignment="1">
      <alignment vertical="center"/>
    </xf>
    <xf numFmtId="6" fontId="84" fillId="78" borderId="0" xfId="3522" applyNumberFormat="1" applyFont="1" applyFill="1" applyAlignment="1">
      <alignment vertical="center"/>
    </xf>
    <xf numFmtId="6" fontId="33" fillId="78" borderId="47" xfId="3522" applyNumberFormat="1" applyFont="1" applyFill="1" applyBorder="1" applyAlignment="1">
      <alignment vertical="center"/>
    </xf>
    <xf numFmtId="0" fontId="81" fillId="0" borderId="0" xfId="2511" applyFont="1" applyAlignment="1">
      <alignment horizontal="center"/>
    </xf>
    <xf numFmtId="37" fontId="33" fillId="79" borderId="0" xfId="2590" applyNumberFormat="1" applyFont="1" applyFill="1" applyBorder="1" applyAlignment="1">
      <alignment vertical="center"/>
    </xf>
    <xf numFmtId="5" fontId="81" fillId="79" borderId="30" xfId="2590" applyNumberFormat="1" applyFont="1" applyFill="1" applyBorder="1" applyAlignment="1">
      <alignment vertical="center"/>
    </xf>
    <xf numFmtId="10" fontId="33" fillId="24" borderId="0" xfId="2590" applyNumberFormat="1" applyFont="1" applyFill="1" applyBorder="1" applyAlignment="1">
      <alignment vertical="center"/>
    </xf>
    <xf numFmtId="0" fontId="33" fillId="0" borderId="0" xfId="2432" applyFont="1" applyBorder="1" applyAlignment="1">
      <alignment vertical="center"/>
    </xf>
    <xf numFmtId="0" fontId="33" fillId="0" borderId="0" xfId="2511" applyFont="1" applyBorder="1" applyAlignment="1">
      <alignment vertical="center"/>
    </xf>
    <xf numFmtId="5" fontId="33" fillId="79" borderId="30" xfId="2590" applyNumberFormat="1" applyFont="1" applyFill="1" applyBorder="1" applyAlignment="1">
      <alignment vertical="center"/>
    </xf>
    <xf numFmtId="5" fontId="33" fillId="79" borderId="0" xfId="2590" applyNumberFormat="1" applyFont="1" applyFill="1" applyAlignment="1">
      <alignment vertical="center"/>
    </xf>
    <xf numFmtId="37" fontId="33" fillId="79" borderId="0" xfId="2590" applyNumberFormat="1" applyFont="1" applyFill="1" applyAlignment="1">
      <alignment vertical="center"/>
    </xf>
    <xf numFmtId="37" fontId="33" fillId="79" borderId="0" xfId="0" applyNumberFormat="1" applyFont="1" applyFill="1"/>
    <xf numFmtId="5" fontId="33" fillId="0" borderId="0" xfId="2590" applyNumberFormat="1" applyFont="1" applyBorder="1" applyAlignment="1">
      <alignment vertical="center"/>
    </xf>
    <xf numFmtId="0" fontId="85" fillId="0" borderId="0" xfId="2359" applyFont="1"/>
    <xf numFmtId="6" fontId="33" fillId="61" borderId="0" xfId="2590" applyNumberFormat="1" applyFont="1" applyFill="1" applyAlignment="1">
      <alignment vertical="center"/>
    </xf>
    <xf numFmtId="38" fontId="33" fillId="61" borderId="0" xfId="2590" applyNumberFormat="1" applyFont="1" applyFill="1" applyAlignment="1">
      <alignment vertical="center"/>
    </xf>
    <xf numFmtId="5" fontId="33" fillId="0" borderId="30" xfId="2590" applyNumberFormat="1" applyFont="1" applyBorder="1" applyAlignment="1">
      <alignment vertical="center"/>
    </xf>
    <xf numFmtId="0" fontId="79" fillId="0" borderId="0" xfId="0" applyFont="1"/>
    <xf numFmtId="42" fontId="0" fillId="0" borderId="0" xfId="0" applyNumberFormat="1"/>
    <xf numFmtId="0" fontId="79" fillId="0" borderId="18" xfId="0" applyFont="1" applyBorder="1" applyAlignment="1">
      <alignment horizontal="center"/>
    </xf>
    <xf numFmtId="41" fontId="0" fillId="0" borderId="0" xfId="0" applyNumberFormat="1"/>
    <xf numFmtId="41" fontId="87" fillId="0" borderId="0" xfId="0" applyNumberFormat="1" applyFont="1"/>
    <xf numFmtId="0" fontId="0" fillId="0" borderId="0" xfId="0" applyFill="1"/>
    <xf numFmtId="166" fontId="0" fillId="0" borderId="0" xfId="0" applyNumberFormat="1"/>
    <xf numFmtId="3" fontId="0" fillId="0" borderId="0" xfId="0" applyNumberFormat="1"/>
    <xf numFmtId="3" fontId="89" fillId="0" borderId="0" xfId="0" applyNumberFormat="1" applyFont="1"/>
    <xf numFmtId="10" fontId="0" fillId="0" borderId="0" xfId="0" applyNumberFormat="1"/>
    <xf numFmtId="37" fontId="26" fillId="0" borderId="13" xfId="2264" applyNumberFormat="1" applyFont="1" applyFill="1" applyBorder="1" applyProtection="1">
      <protection locked="0"/>
    </xf>
    <xf numFmtId="37" fontId="26" fillId="0" borderId="17" xfId="2264" applyNumberFormat="1" applyFont="1" applyFill="1" applyBorder="1" applyProtection="1">
      <protection locked="0"/>
    </xf>
    <xf numFmtId="168" fontId="0" fillId="0" borderId="0" xfId="0" applyNumberFormat="1"/>
    <xf numFmtId="44" fontId="0" fillId="0" borderId="0" xfId="0" applyNumberFormat="1"/>
    <xf numFmtId="5" fontId="0" fillId="0" borderId="0" xfId="0" applyNumberFormat="1"/>
    <xf numFmtId="0" fontId="81" fillId="85" borderId="55" xfId="0" applyFont="1" applyFill="1" applyBorder="1" applyAlignment="1">
      <alignment horizontal="center"/>
    </xf>
    <xf numFmtId="37" fontId="81" fillId="85" borderId="55" xfId="2590" applyNumberFormat="1" applyFont="1" applyFill="1" applyBorder="1" applyAlignment="1">
      <alignment horizontal="center" vertical="center"/>
    </xf>
    <xf numFmtId="41" fontId="33" fillId="24" borderId="0" xfId="2590" applyNumberFormat="1" applyFont="1" applyFill="1" applyAlignment="1">
      <alignment vertical="center"/>
    </xf>
    <xf numFmtId="0" fontId="85" fillId="76" borderId="0" xfId="2920" applyFont="1" applyFill="1" applyAlignment="1">
      <alignment horizontal="center" vertical="center"/>
    </xf>
    <xf numFmtId="0" fontId="94" fillId="88" borderId="0" xfId="0" applyFont="1" applyFill="1" applyAlignment="1">
      <alignment horizontal="left"/>
    </xf>
    <xf numFmtId="179" fontId="24" fillId="87" borderId="0" xfId="0" applyNumberFormat="1" applyFont="1" applyFill="1"/>
    <xf numFmtId="0" fontId="33" fillId="0" borderId="0" xfId="0" applyFont="1"/>
    <xf numFmtId="37" fontId="81" fillId="76" borderId="0" xfId="2590" applyNumberFormat="1" applyFont="1" applyFill="1" applyBorder="1" applyAlignment="1">
      <alignment horizontal="center" vertical="center"/>
    </xf>
    <xf numFmtId="177" fontId="81" fillId="76" borderId="18" xfId="2590" applyNumberFormat="1" applyFont="1" applyFill="1" applyBorder="1" applyAlignment="1">
      <alignment horizontal="center" vertical="center"/>
    </xf>
    <xf numFmtId="0" fontId="33" fillId="0" borderId="0" xfId="2432" applyFont="1" applyFill="1" applyAlignment="1">
      <alignment vertical="center"/>
    </xf>
    <xf numFmtId="37" fontId="33" fillId="24" borderId="0" xfId="2590" applyNumberFormat="1" applyFont="1" applyFill="1" applyAlignment="1">
      <alignment vertical="center"/>
    </xf>
    <xf numFmtId="5" fontId="81" fillId="73" borderId="30" xfId="2590" applyNumberFormat="1" applyFont="1" applyFill="1" applyBorder="1" applyAlignment="1">
      <alignment vertical="center"/>
    </xf>
    <xf numFmtId="5" fontId="33" fillId="79" borderId="0" xfId="2590" applyNumberFormat="1" applyFont="1" applyFill="1" applyBorder="1" applyAlignment="1">
      <alignment vertical="center"/>
    </xf>
    <xf numFmtId="41" fontId="33" fillId="24" borderId="0" xfId="0" applyNumberFormat="1" applyFont="1" applyFill="1"/>
    <xf numFmtId="176" fontId="33" fillId="87" borderId="0" xfId="0" applyNumberFormat="1" applyFont="1" applyFill="1" applyBorder="1"/>
    <xf numFmtId="0" fontId="0" fillId="0" borderId="0" xfId="0"/>
    <xf numFmtId="3" fontId="0" fillId="0" borderId="0" xfId="0" applyNumberFormat="1"/>
    <xf numFmtId="0" fontId="0" fillId="0" borderId="46" xfId="0" applyBorder="1"/>
    <xf numFmtId="0" fontId="0" fillId="0" borderId="44" xfId="0" applyBorder="1"/>
    <xf numFmtId="6" fontId="0" fillId="0" borderId="0" xfId="0" applyNumberFormat="1"/>
    <xf numFmtId="0" fontId="0" fillId="0" borderId="45" xfId="0" applyBorder="1"/>
    <xf numFmtId="180" fontId="0" fillId="0" borderId="0" xfId="0" applyNumberFormat="1"/>
    <xf numFmtId="4" fontId="0" fillId="0" borderId="0" xfId="0" applyNumberFormat="1"/>
    <xf numFmtId="0" fontId="0" fillId="89" borderId="0" xfId="0" applyFill="1"/>
    <xf numFmtId="37" fontId="33" fillId="76" borderId="0" xfId="2590" applyNumberFormat="1" applyFont="1" applyFill="1" applyAlignment="1">
      <alignment vertical="center"/>
    </xf>
    <xf numFmtId="5" fontId="33" fillId="76" borderId="0" xfId="2590" applyNumberFormat="1" applyFont="1" applyFill="1" applyBorder="1" applyAlignment="1">
      <alignment vertical="center"/>
    </xf>
    <xf numFmtId="5" fontId="33" fillId="76" borderId="30" xfId="2590" applyNumberFormat="1" applyFont="1" applyFill="1" applyBorder="1" applyAlignment="1">
      <alignment vertical="center"/>
    </xf>
    <xf numFmtId="5" fontId="33" fillId="76" borderId="0" xfId="2590" applyNumberFormat="1" applyFont="1" applyFill="1" applyAlignment="1">
      <alignment vertical="center"/>
    </xf>
    <xf numFmtId="10" fontId="33" fillId="0" borderId="0" xfId="2590" applyNumberFormat="1" applyFont="1" applyBorder="1" applyAlignment="1">
      <alignment vertical="center"/>
    </xf>
    <xf numFmtId="7" fontId="33" fillId="0" borderId="0" xfId="0" applyNumberFormat="1" applyFont="1"/>
    <xf numFmtId="3" fontId="24" fillId="0" borderId="0" xfId="2950" applyNumberFormat="1" applyAlignment="1" applyProtection="1">
      <alignment horizontal="right"/>
      <protection locked="0"/>
    </xf>
    <xf numFmtId="0" fontId="0" fillId="0" borderId="0" xfId="0" applyAlignment="1">
      <alignment horizontal="right"/>
    </xf>
    <xf numFmtId="170" fontId="24" fillId="0" borderId="0" xfId="2950" applyNumberFormat="1" applyAlignment="1" applyProtection="1">
      <alignment horizontal="right"/>
      <protection locked="0"/>
    </xf>
    <xf numFmtId="3" fontId="0" fillId="0" borderId="0" xfId="0" applyNumberFormat="1" applyAlignment="1">
      <alignment horizontal="right"/>
    </xf>
    <xf numFmtId="170" fontId="33" fillId="0" borderId="0" xfId="2950" applyNumberFormat="1" applyFont="1" applyAlignment="1" applyProtection="1">
      <alignment horizontal="right"/>
      <protection locked="0"/>
    </xf>
    <xf numFmtId="170" fontId="24" fillId="0" borderId="0" xfId="2950" applyNumberFormat="1" applyAlignment="1" applyProtection="1">
      <alignment horizontal="left"/>
      <protection locked="0"/>
    </xf>
    <xf numFmtId="0" fontId="99" fillId="0" borderId="0" xfId="0" applyFont="1" applyAlignment="1">
      <alignment horizontal="center"/>
    </xf>
    <xf numFmtId="181" fontId="0" fillId="0" borderId="0" xfId="0" applyNumberFormat="1" applyAlignment="1">
      <alignment horizontal="left"/>
    </xf>
    <xf numFmtId="40" fontId="0" fillId="0" borderId="0" xfId="0" applyNumberFormat="1"/>
    <xf numFmtId="38" fontId="0" fillId="0" borderId="0" xfId="0" applyNumberFormat="1"/>
    <xf numFmtId="172" fontId="0" fillId="0" borderId="0" xfId="0" applyNumberFormat="1"/>
    <xf numFmtId="0" fontId="11" fillId="0" borderId="0" xfId="12218"/>
    <xf numFmtId="0" fontId="11" fillId="0" borderId="0" xfId="12218" applyAlignment="1">
      <alignment horizontal="center"/>
    </xf>
    <xf numFmtId="1" fontId="11" fillId="0" borderId="0" xfId="12218" applyNumberFormat="1"/>
    <xf numFmtId="0" fontId="119" fillId="61" borderId="0" xfId="21880" applyFill="1"/>
    <xf numFmtId="4" fontId="115" fillId="0" borderId="0" xfId="21881" applyNumberFormat="1" applyFont="1" applyFill="1" applyProtection="1">
      <protection hidden="1"/>
    </xf>
    <xf numFmtId="5" fontId="119" fillId="0" borderId="0" xfId="21880" applyNumberFormat="1"/>
    <xf numFmtId="0" fontId="119" fillId="0" borderId="0" xfId="21880" quotePrefix="1"/>
    <xf numFmtId="7" fontId="119" fillId="0" borderId="0" xfId="21880" applyNumberFormat="1"/>
    <xf numFmtId="5" fontId="119" fillId="73" borderId="0" xfId="21880" applyNumberFormat="1" applyFill="1"/>
    <xf numFmtId="10" fontId="119" fillId="73" borderId="0" xfId="21880" applyNumberFormat="1" applyFill="1"/>
    <xf numFmtId="4" fontId="115" fillId="61" borderId="0" xfId="21881" applyNumberFormat="1" applyFont="1" applyFill="1" applyProtection="1">
      <protection hidden="1"/>
    </xf>
    <xf numFmtId="0" fontId="119" fillId="84" borderId="0" xfId="21880" applyFill="1"/>
    <xf numFmtId="42" fontId="155" fillId="61" borderId="0" xfId="21880" applyNumberFormat="1" applyFont="1" applyFill="1"/>
    <xf numFmtId="5" fontId="119" fillId="0" borderId="0" xfId="21880" applyNumberFormat="1" applyFill="1"/>
    <xf numFmtId="5" fontId="119" fillId="61" borderId="0" xfId="21880" applyNumberFormat="1" applyFill="1"/>
    <xf numFmtId="5" fontId="119" fillId="84" borderId="0" xfId="21880" applyNumberFormat="1" applyFill="1"/>
    <xf numFmtId="7" fontId="119" fillId="0" borderId="0" xfId="21880" applyNumberFormat="1" applyFill="1"/>
    <xf numFmtId="5" fontId="0" fillId="84" borderId="0" xfId="0" applyNumberFormat="1" applyFill="1"/>
    <xf numFmtId="5" fontId="149" fillId="0" borderId="0" xfId="21880" applyNumberFormat="1" applyFont="1"/>
    <xf numFmtId="0" fontId="119" fillId="0" borderId="0" xfId="21880"/>
    <xf numFmtId="10" fontId="79" fillId="72" borderId="0" xfId="0" applyNumberFormat="1" applyFont="1" applyFill="1"/>
    <xf numFmtId="183" fontId="119" fillId="0" borderId="0" xfId="21880" applyNumberFormat="1"/>
    <xf numFmtId="10" fontId="33" fillId="85" borderId="0" xfId="2590" applyNumberFormat="1" applyFont="1" applyFill="1" applyAlignment="1">
      <alignment vertical="center"/>
    </xf>
    <xf numFmtId="5" fontId="33" fillId="90" borderId="0" xfId="2590" applyNumberFormat="1" applyFont="1" applyFill="1"/>
    <xf numFmtId="10" fontId="33" fillId="90" borderId="0" xfId="2590" applyNumberFormat="1" applyFont="1" applyFill="1"/>
    <xf numFmtId="38" fontId="26" fillId="91" borderId="63" xfId="1513" applyNumberFormat="1" applyFont="1" applyFill="1" applyBorder="1" applyProtection="1">
      <protection locked="0"/>
    </xf>
    <xf numFmtId="38" fontId="26" fillId="91" borderId="27" xfId="1513" applyNumberFormat="1" applyFont="1" applyFill="1" applyBorder="1" applyProtection="1">
      <protection locked="0"/>
    </xf>
    <xf numFmtId="38" fontId="26" fillId="91" borderId="64" xfId="1513" applyNumberFormat="1" applyFont="1" applyFill="1" applyBorder="1" applyProtection="1">
      <protection locked="0"/>
    </xf>
    <xf numFmtId="5" fontId="119" fillId="0" borderId="0" xfId="0" applyNumberFormat="1" applyFont="1" applyFill="1" applyBorder="1" applyAlignment="1" applyProtection="1"/>
    <xf numFmtId="0" fontId="35" fillId="0" borderId="0" xfId="21993" applyFont="1" applyAlignment="1">
      <alignment horizontal="center"/>
    </xf>
    <xf numFmtId="0" fontId="78" fillId="0" borderId="56" xfId="21994" applyFont="1" applyBorder="1" applyAlignment="1">
      <alignment horizontal="center"/>
    </xf>
    <xf numFmtId="0" fontId="78" fillId="0" borderId="54" xfId="21994" applyFont="1" applyBorder="1" applyAlignment="1">
      <alignment horizontal="center"/>
    </xf>
    <xf numFmtId="0" fontId="157" fillId="0" borderId="56" xfId="21994" applyFont="1" applyBorder="1" applyAlignment="1">
      <alignment horizontal="center"/>
    </xf>
    <xf numFmtId="0" fontId="157" fillId="0" borderId="54" xfId="21994" applyFont="1" applyBorder="1" applyAlignment="1">
      <alignment horizontal="center"/>
    </xf>
    <xf numFmtId="0" fontId="24" fillId="0" borderId="40" xfId="21995" applyFont="1" applyBorder="1"/>
    <xf numFmtId="166" fontId="20" fillId="61" borderId="41" xfId="21994" applyNumberFormat="1" applyFill="1" applyBorder="1"/>
    <xf numFmtId="166" fontId="20" fillId="61" borderId="42" xfId="21994" applyNumberFormat="1" applyFill="1" applyBorder="1"/>
    <xf numFmtId="0" fontId="24" fillId="0" borderId="45" xfId="21995" applyFont="1" applyBorder="1"/>
    <xf numFmtId="166" fontId="20" fillId="61" borderId="0" xfId="21994" applyNumberFormat="1" applyFill="1" applyBorder="1"/>
    <xf numFmtId="166" fontId="20" fillId="61" borderId="46" xfId="21994" applyNumberFormat="1" applyFill="1" applyBorder="1"/>
    <xf numFmtId="0" fontId="24" fillId="0" borderId="43" xfId="21995" applyFont="1" applyBorder="1"/>
    <xf numFmtId="166" fontId="20" fillId="61" borderId="9" xfId="21994" applyNumberFormat="1" applyFill="1" applyBorder="1"/>
    <xf numFmtId="166" fontId="20" fillId="61" borderId="44" xfId="21994" applyNumberFormat="1" applyFill="1" applyBorder="1"/>
    <xf numFmtId="166" fontId="20" fillId="92" borderId="41" xfId="21994" applyNumberFormat="1" applyFill="1" applyBorder="1"/>
    <xf numFmtId="166" fontId="20" fillId="92" borderId="42" xfId="21994" applyNumberFormat="1" applyFill="1" applyBorder="1"/>
    <xf numFmtId="166" fontId="20" fillId="92" borderId="0" xfId="21994" applyNumberFormat="1" applyFill="1" applyBorder="1"/>
    <xf numFmtId="166" fontId="20" fillId="92" borderId="46" xfId="21994" applyNumberFormat="1" applyFill="1" applyBorder="1"/>
    <xf numFmtId="166" fontId="20" fillId="92" borderId="9" xfId="21994" applyNumberFormat="1" applyFill="1" applyBorder="1"/>
    <xf numFmtId="166" fontId="20" fillId="92" borderId="44" xfId="21994" applyNumberFormat="1" applyFill="1" applyBorder="1"/>
    <xf numFmtId="0" fontId="24" fillId="0" borderId="53" xfId="21995" applyFont="1" applyBorder="1"/>
    <xf numFmtId="10" fontId="20" fillId="61" borderId="56" xfId="21994" applyNumberFormat="1" applyFill="1" applyBorder="1"/>
    <xf numFmtId="10" fontId="20" fillId="61" borderId="54" xfId="21994" applyNumberFormat="1" applyFill="1" applyBorder="1"/>
    <xf numFmtId="0" fontId="20" fillId="0" borderId="0" xfId="21994"/>
    <xf numFmtId="0" fontId="159" fillId="93" borderId="41" xfId="0" applyFont="1" applyFill="1" applyBorder="1" applyAlignment="1">
      <alignment horizontal="center"/>
    </xf>
    <xf numFmtId="0" fontId="159" fillId="93" borderId="42" xfId="0" applyFont="1" applyFill="1" applyBorder="1" applyAlignment="1">
      <alignment horizontal="center"/>
    </xf>
    <xf numFmtId="0" fontId="0" fillId="93" borderId="40" xfId="0" applyFill="1" applyBorder="1"/>
    <xf numFmtId="178" fontId="0" fillId="61" borderId="41" xfId="0" applyNumberFormat="1" applyFill="1" applyBorder="1"/>
    <xf numFmtId="0" fontId="0" fillId="93" borderId="45" xfId="0" applyFill="1" applyBorder="1"/>
    <xf numFmtId="0" fontId="0" fillId="93" borderId="0" xfId="0" applyFill="1" applyBorder="1"/>
    <xf numFmtId="178" fontId="0" fillId="61" borderId="0" xfId="0" applyNumberFormat="1" applyFill="1" applyBorder="1"/>
    <xf numFmtId="178" fontId="0" fillId="61" borderId="46" xfId="0" applyNumberFormat="1" applyFill="1" applyBorder="1"/>
    <xf numFmtId="178" fontId="160" fillId="61" borderId="0" xfId="0" applyNumberFormat="1" applyFont="1" applyFill="1" applyBorder="1"/>
    <xf numFmtId="178" fontId="160" fillId="61" borderId="46" xfId="0" applyNumberFormat="1" applyFont="1" applyFill="1" applyBorder="1"/>
    <xf numFmtId="0" fontId="0" fillId="93" borderId="46" xfId="0" applyFill="1" applyBorder="1"/>
    <xf numFmtId="166" fontId="0" fillId="93" borderId="0" xfId="0" applyNumberFormat="1" applyFill="1" applyBorder="1"/>
    <xf numFmtId="0" fontId="0" fillId="93" borderId="43" xfId="0" applyFill="1" applyBorder="1"/>
    <xf numFmtId="166" fontId="0" fillId="93" borderId="9" xfId="0" applyNumberFormat="1" applyFill="1" applyBorder="1"/>
    <xf numFmtId="166" fontId="0" fillId="93" borderId="44" xfId="0" applyNumberFormat="1" applyFill="1" applyBorder="1"/>
    <xf numFmtId="0" fontId="159" fillId="80" borderId="41" xfId="0" applyFont="1" applyFill="1" applyBorder="1" applyAlignment="1">
      <alignment horizontal="center"/>
    </xf>
    <xf numFmtId="0" fontId="159" fillId="80" borderId="42" xfId="0" applyFont="1" applyFill="1" applyBorder="1" applyAlignment="1">
      <alignment horizontal="center"/>
    </xf>
    <xf numFmtId="0" fontId="0" fillId="80" borderId="40" xfId="0" applyFill="1" applyBorder="1"/>
    <xf numFmtId="2" fontId="0" fillId="61" borderId="41" xfId="0" applyNumberFormat="1" applyFill="1" applyBorder="1"/>
    <xf numFmtId="2" fontId="0" fillId="61" borderId="42" xfId="0" applyNumberFormat="1" applyFill="1" applyBorder="1"/>
    <xf numFmtId="0" fontId="0" fillId="80" borderId="45" xfId="0" applyFill="1" applyBorder="1"/>
    <xf numFmtId="0" fontId="0" fillId="80" borderId="0" xfId="0" applyFill="1" applyBorder="1"/>
    <xf numFmtId="2" fontId="0" fillId="61" borderId="0" xfId="0" applyNumberFormat="1" applyFill="1" applyBorder="1"/>
    <xf numFmtId="2" fontId="0" fillId="61" borderId="46" xfId="0" applyNumberFormat="1" applyFill="1" applyBorder="1"/>
    <xf numFmtId="0" fontId="0" fillId="80" borderId="46" xfId="0" applyFill="1" applyBorder="1"/>
    <xf numFmtId="166" fontId="0" fillId="80" borderId="0" xfId="0" applyNumberFormat="1" applyFill="1" applyBorder="1"/>
    <xf numFmtId="166" fontId="0" fillId="80" borderId="46" xfId="0" applyNumberFormat="1" applyFill="1" applyBorder="1"/>
    <xf numFmtId="166" fontId="160" fillId="80" borderId="0" xfId="0" applyNumberFormat="1" applyFont="1" applyFill="1" applyBorder="1"/>
    <xf numFmtId="166" fontId="160" fillId="80" borderId="46" xfId="0" applyNumberFormat="1" applyFont="1" applyFill="1" applyBorder="1"/>
    <xf numFmtId="0" fontId="0" fillId="80" borderId="43" xfId="0" applyFill="1" applyBorder="1"/>
    <xf numFmtId="166" fontId="0" fillId="80" borderId="9" xfId="0" applyNumberFormat="1" applyFill="1" applyBorder="1"/>
    <xf numFmtId="166" fontId="0" fillId="80" borderId="44" xfId="0" applyNumberFormat="1" applyFill="1" applyBorder="1"/>
    <xf numFmtId="0" fontId="159" fillId="94" borderId="41" xfId="0" applyFont="1" applyFill="1" applyBorder="1" applyAlignment="1">
      <alignment horizontal="center"/>
    </xf>
    <xf numFmtId="0" fontId="159" fillId="94" borderId="42" xfId="0" applyFont="1" applyFill="1" applyBorder="1" applyAlignment="1">
      <alignment horizontal="center"/>
    </xf>
    <xf numFmtId="0" fontId="0" fillId="94" borderId="40" xfId="0" applyFill="1" applyBorder="1"/>
    <xf numFmtId="0" fontId="0" fillId="94" borderId="45" xfId="0" applyFill="1" applyBorder="1"/>
    <xf numFmtId="0" fontId="0" fillId="94" borderId="0" xfId="0" applyFill="1" applyBorder="1"/>
    <xf numFmtId="0" fontId="0" fillId="94" borderId="46" xfId="0" applyFill="1" applyBorder="1"/>
    <xf numFmtId="0" fontId="0" fillId="94" borderId="43" xfId="0" applyFill="1" applyBorder="1"/>
    <xf numFmtId="166" fontId="0" fillId="94" borderId="9" xfId="0" applyNumberFormat="1" applyFill="1" applyBorder="1"/>
    <xf numFmtId="166" fontId="0" fillId="94" borderId="44" xfId="0" applyNumberFormat="1" applyFill="1" applyBorder="1"/>
    <xf numFmtId="0" fontId="159" fillId="90" borderId="41" xfId="0" applyFont="1" applyFill="1" applyBorder="1" applyAlignment="1">
      <alignment horizontal="center"/>
    </xf>
    <xf numFmtId="0" fontId="159" fillId="90" borderId="42" xfId="0" applyFont="1" applyFill="1" applyBorder="1" applyAlignment="1">
      <alignment horizontal="center"/>
    </xf>
    <xf numFmtId="0" fontId="0" fillId="90" borderId="40" xfId="0" applyFill="1" applyBorder="1"/>
    <xf numFmtId="185" fontId="0" fillId="61" borderId="41" xfId="0" applyNumberFormat="1" applyFill="1" applyBorder="1"/>
    <xf numFmtId="0" fontId="0" fillId="90" borderId="45" xfId="0" applyFill="1" applyBorder="1"/>
    <xf numFmtId="0" fontId="0" fillId="90" borderId="0" xfId="0" applyFill="1" applyBorder="1"/>
    <xf numFmtId="185" fontId="0" fillId="61" borderId="0" xfId="0" applyNumberFormat="1" applyFill="1" applyBorder="1"/>
    <xf numFmtId="185" fontId="0" fillId="61" borderId="46" xfId="0" applyNumberFormat="1" applyFill="1" applyBorder="1"/>
    <xf numFmtId="185" fontId="160" fillId="61" borderId="0" xfId="0" applyNumberFormat="1" applyFont="1" applyFill="1" applyBorder="1"/>
    <xf numFmtId="185" fontId="160" fillId="61" borderId="46" xfId="0" applyNumberFormat="1" applyFont="1" applyFill="1" applyBorder="1"/>
    <xf numFmtId="0" fontId="0" fillId="90" borderId="46" xfId="0" applyFill="1" applyBorder="1"/>
    <xf numFmtId="6" fontId="0" fillId="90" borderId="0" xfId="0" applyNumberFormat="1" applyFill="1" applyBorder="1"/>
    <xf numFmtId="6" fontId="160" fillId="90" borderId="0" xfId="0" applyNumberFormat="1" applyFont="1" applyFill="1" applyBorder="1"/>
    <xf numFmtId="0" fontId="0" fillId="90" borderId="43" xfId="0" applyFill="1" applyBorder="1"/>
    <xf numFmtId="6" fontId="0" fillId="90" borderId="9" xfId="0" applyNumberFormat="1" applyFill="1" applyBorder="1"/>
    <xf numFmtId="6" fontId="0" fillId="90" borderId="44" xfId="0" applyNumberFormat="1" applyFill="1" applyBorder="1"/>
    <xf numFmtId="0" fontId="88" fillId="69" borderId="53" xfId="0" applyFont="1" applyFill="1" applyBorder="1"/>
    <xf numFmtId="0" fontId="88" fillId="69" borderId="56" xfId="0" applyFont="1" applyFill="1" applyBorder="1"/>
    <xf numFmtId="6" fontId="88" fillId="69" borderId="56" xfId="0" applyNumberFormat="1" applyFont="1" applyFill="1" applyBorder="1"/>
    <xf numFmtId="6" fontId="88" fillId="69" borderId="54" xfId="0" applyNumberFormat="1" applyFont="1" applyFill="1" applyBorder="1"/>
    <xf numFmtId="166" fontId="89" fillId="93" borderId="0" xfId="0" applyNumberFormat="1" applyFont="1" applyFill="1" applyBorder="1"/>
    <xf numFmtId="0" fontId="24" fillId="61" borderId="27" xfId="0" applyFont="1" applyFill="1" applyBorder="1" applyAlignment="1">
      <alignment horizontal="center"/>
    </xf>
    <xf numFmtId="5" fontId="86" fillId="0" borderId="20" xfId="0" applyNumberFormat="1" applyFont="1" applyFill="1" applyBorder="1"/>
    <xf numFmtId="2" fontId="24" fillId="0" borderId="17" xfId="0" applyNumberFormat="1" applyFont="1" applyBorder="1"/>
    <xf numFmtId="40" fontId="161" fillId="0" borderId="0" xfId="0" applyNumberFormat="1" applyFont="1"/>
    <xf numFmtId="40" fontId="0" fillId="0" borderId="0" xfId="0" quotePrefix="1" applyNumberFormat="1"/>
    <xf numFmtId="0" fontId="162" fillId="0" borderId="18" xfId="0" applyFont="1" applyBorder="1"/>
    <xf numFmtId="0" fontId="0" fillId="0" borderId="0" xfId="0" applyFill="1" applyBorder="1"/>
    <xf numFmtId="0" fontId="163" fillId="0" borderId="0" xfId="0" applyFont="1"/>
    <xf numFmtId="0" fontId="0" fillId="0" borderId="0" xfId="0" applyFont="1"/>
    <xf numFmtId="0" fontId="80" fillId="0" borderId="0" xfId="0" applyFont="1"/>
    <xf numFmtId="0" fontId="164" fillId="0" borderId="0" xfId="0" applyFont="1"/>
    <xf numFmtId="0" fontId="165" fillId="0" borderId="0" xfId="0" applyFont="1" applyAlignment="1">
      <alignment horizontal="center"/>
    </xf>
    <xf numFmtId="3" fontId="0" fillId="0" borderId="0" xfId="0" applyNumberFormat="1" applyFont="1"/>
    <xf numFmtId="168" fontId="0" fillId="0" borderId="0" xfId="21996" applyNumberFormat="1" applyFont="1"/>
    <xf numFmtId="0" fontId="0" fillId="84" borderId="0" xfId="0" applyFill="1" applyAlignment="1">
      <alignment textRotation="90"/>
    </xf>
    <xf numFmtId="0" fontId="0" fillId="84" borderId="27" xfId="0" applyFill="1" applyBorder="1"/>
    <xf numFmtId="0" fontId="0" fillId="95" borderId="0" xfId="0" applyFill="1" applyAlignment="1">
      <alignment textRotation="90" wrapText="1"/>
    </xf>
    <xf numFmtId="0" fontId="0" fillId="95" borderId="27" xfId="0" applyFill="1" applyBorder="1"/>
    <xf numFmtId="0" fontId="0" fillId="88" borderId="0" xfId="0" applyFill="1" applyAlignment="1">
      <alignment textRotation="90"/>
    </xf>
    <xf numFmtId="0" fontId="0" fillId="88" borderId="27" xfId="0" applyFill="1" applyBorder="1"/>
    <xf numFmtId="2" fontId="24" fillId="96" borderId="26" xfId="0" applyNumberFormat="1" applyFont="1" applyFill="1" applyBorder="1" applyAlignment="1">
      <alignment horizontal="center"/>
    </xf>
    <xf numFmtId="2" fontId="24" fillId="96" borderId="26" xfId="0" applyNumberFormat="1" applyFont="1" applyFill="1" applyBorder="1" applyAlignment="1"/>
    <xf numFmtId="0" fontId="35" fillId="0" borderId="0" xfId="21993" applyFont="1" applyAlignment="1">
      <alignment horizontal="center"/>
    </xf>
    <xf numFmtId="175" fontId="85" fillId="73" borderId="0" xfId="2920" applyNumberFormat="1" applyFont="1" applyFill="1" applyAlignment="1">
      <alignment horizontal="center" vertical="center"/>
    </xf>
    <xf numFmtId="0" fontId="168" fillId="0" borderId="0" xfId="0" applyFont="1"/>
    <xf numFmtId="167" fontId="168" fillId="0" borderId="0" xfId="0" applyNumberFormat="1" applyFont="1" applyFill="1" applyAlignment="1"/>
    <xf numFmtId="0" fontId="169" fillId="0" borderId="0" xfId="0" applyFont="1" applyFill="1" applyAlignment="1">
      <alignment horizontal="center"/>
    </xf>
    <xf numFmtId="0" fontId="168" fillId="0" borderId="0" xfId="0" applyFont="1" applyFill="1"/>
    <xf numFmtId="0" fontId="168" fillId="62" borderId="41" xfId="0" applyFont="1" applyFill="1" applyBorder="1"/>
    <xf numFmtId="0" fontId="168" fillId="62" borderId="0" xfId="0" applyFont="1" applyFill="1" applyBorder="1"/>
    <xf numFmtId="166" fontId="167" fillId="62" borderId="0" xfId="0" applyNumberFormat="1" applyFont="1" applyFill="1" applyBorder="1" applyAlignment="1">
      <alignment horizontal="center"/>
    </xf>
    <xf numFmtId="0" fontId="167" fillId="62" borderId="0" xfId="0" applyFont="1" applyFill="1" applyBorder="1" applyAlignment="1">
      <alignment horizontal="center"/>
    </xf>
    <xf numFmtId="5" fontId="168" fillId="62" borderId="0" xfId="0" applyNumberFormat="1" applyFont="1" applyFill="1" applyBorder="1"/>
    <xf numFmtId="5" fontId="168" fillId="0" borderId="0" xfId="0" applyNumberFormat="1" applyFont="1" applyFill="1"/>
    <xf numFmtId="0" fontId="167" fillId="62" borderId="45" xfId="0" applyFont="1" applyFill="1" applyBorder="1" applyAlignment="1">
      <alignment horizontal="right"/>
    </xf>
    <xf numFmtId="5" fontId="171" fillId="62" borderId="0" xfId="0" applyNumberFormat="1" applyFont="1" applyFill="1" applyBorder="1"/>
    <xf numFmtId="0" fontId="168" fillId="62" borderId="9" xfId="0" applyFont="1" applyFill="1" applyBorder="1"/>
    <xf numFmtId="5" fontId="171" fillId="0" borderId="0" xfId="0" applyNumberFormat="1" applyFont="1" applyFill="1"/>
    <xf numFmtId="0" fontId="168" fillId="63" borderId="42" xfId="0" applyFont="1" applyFill="1" applyBorder="1"/>
    <xf numFmtId="0" fontId="169" fillId="64" borderId="0" xfId="0" applyFont="1" applyFill="1" applyBorder="1" applyAlignment="1">
      <alignment horizontal="center"/>
    </xf>
    <xf numFmtId="5" fontId="171" fillId="64" borderId="0" xfId="0" applyNumberFormat="1" applyFont="1" applyFill="1" applyBorder="1" applyAlignment="1">
      <alignment horizontal="left"/>
    </xf>
    <xf numFmtId="0" fontId="168" fillId="64" borderId="0" xfId="0" applyFont="1" applyFill="1" applyBorder="1" applyAlignment="1">
      <alignment horizontal="left"/>
    </xf>
    <xf numFmtId="0" fontId="168" fillId="64" borderId="0" xfId="0" applyFont="1" applyFill="1" applyBorder="1"/>
    <xf numFmtId="0" fontId="167" fillId="64" borderId="0" xfId="0" applyFont="1" applyFill="1" applyBorder="1" applyAlignment="1">
      <alignment horizontal="center"/>
    </xf>
    <xf numFmtId="166" fontId="168" fillId="64" borderId="0" xfId="0" applyNumberFormat="1" applyFont="1" applyFill="1" applyBorder="1" applyAlignment="1">
      <alignment horizontal="right"/>
    </xf>
    <xf numFmtId="0" fontId="168" fillId="0" borderId="0" xfId="0" applyFont="1" applyFill="1" applyAlignment="1">
      <alignment horizontal="left"/>
    </xf>
    <xf numFmtId="166" fontId="171" fillId="64" borderId="0" xfId="0" applyNumberFormat="1" applyFont="1" applyFill="1" applyBorder="1" applyAlignment="1">
      <alignment horizontal="right"/>
    </xf>
    <xf numFmtId="0" fontId="168" fillId="0" borderId="0" xfId="0" applyFont="1" applyAlignment="1">
      <alignment horizontal="left"/>
    </xf>
    <xf numFmtId="3" fontId="170" fillId="64" borderId="0" xfId="0" applyNumberFormat="1" applyFont="1" applyFill="1" applyBorder="1" applyAlignment="1">
      <alignment horizontal="right"/>
    </xf>
    <xf numFmtId="5" fontId="168" fillId="64" borderId="0" xfId="0" applyNumberFormat="1" applyFont="1" applyFill="1" applyBorder="1" applyAlignment="1">
      <alignment horizontal="right"/>
    </xf>
    <xf numFmtId="5" fontId="168" fillId="61" borderId="0" xfId="0" applyNumberFormat="1" applyFont="1" applyFill="1" applyBorder="1" applyAlignment="1">
      <alignment horizontal="right"/>
    </xf>
    <xf numFmtId="37" fontId="170" fillId="64" borderId="0" xfId="0" applyNumberFormat="1" applyFont="1" applyFill="1" applyBorder="1"/>
    <xf numFmtId="37" fontId="170" fillId="61" borderId="0" xfId="0" applyNumberFormat="1" applyFont="1" applyFill="1" applyBorder="1"/>
    <xf numFmtId="5" fontId="171" fillId="64" borderId="9" xfId="0" applyNumberFormat="1" applyFont="1" applyFill="1" applyBorder="1"/>
    <xf numFmtId="0" fontId="169" fillId="65" borderId="0" xfId="0" applyFont="1" applyFill="1" applyBorder="1" applyAlignment="1">
      <alignment horizontal="center" wrapText="1"/>
    </xf>
    <xf numFmtId="0" fontId="168" fillId="65" borderId="0" xfId="0" applyFont="1" applyFill="1" applyBorder="1"/>
    <xf numFmtId="5" fontId="171" fillId="65" borderId="0" xfId="0" applyNumberFormat="1" applyFont="1" applyFill="1" applyBorder="1"/>
    <xf numFmtId="0" fontId="167" fillId="65" borderId="0" xfId="0" applyFont="1" applyFill="1" applyBorder="1" applyAlignment="1">
      <alignment horizontal="center"/>
    </xf>
    <xf numFmtId="5" fontId="168" fillId="65" borderId="0" xfId="0" applyNumberFormat="1" applyFont="1" applyFill="1" applyBorder="1"/>
    <xf numFmtId="0" fontId="168" fillId="65" borderId="9" xfId="0" applyFont="1" applyFill="1" applyBorder="1"/>
    <xf numFmtId="0" fontId="168" fillId="0" borderId="0" xfId="0" applyFont="1" applyFill="1" applyBorder="1"/>
    <xf numFmtId="0" fontId="169" fillId="80" borderId="0" xfId="0" applyFont="1" applyFill="1" applyBorder="1" applyAlignment="1">
      <alignment horizontal="center" wrapText="1"/>
    </xf>
    <xf numFmtId="0" fontId="168" fillId="80" borderId="0" xfId="0" applyFont="1" applyFill="1"/>
    <xf numFmtId="0" fontId="168" fillId="80" borderId="0" xfId="0" applyFont="1" applyFill="1" applyBorder="1"/>
    <xf numFmtId="0" fontId="167" fillId="80" borderId="0" xfId="0" applyFont="1" applyFill="1" applyBorder="1" applyAlignment="1">
      <alignment horizontal="center"/>
    </xf>
    <xf numFmtId="5" fontId="168" fillId="80" borderId="0" xfId="0" applyNumberFormat="1" applyFont="1" applyFill="1" applyBorder="1"/>
    <xf numFmtId="3" fontId="170" fillId="80" borderId="0" xfId="0" applyNumberFormat="1" applyFont="1" applyFill="1" applyBorder="1"/>
    <xf numFmtId="5" fontId="171" fillId="80" borderId="0" xfId="0" applyNumberFormat="1" applyFont="1" applyFill="1" applyBorder="1"/>
    <xf numFmtId="5" fontId="168" fillId="61" borderId="0" xfId="0" applyNumberFormat="1" applyFont="1" applyFill="1" applyBorder="1"/>
    <xf numFmtId="0" fontId="168" fillId="0" borderId="0" xfId="0" applyFont="1" applyBorder="1"/>
    <xf numFmtId="0" fontId="169" fillId="25" borderId="0" xfId="0" applyFont="1" applyFill="1" applyBorder="1" applyAlignment="1">
      <alignment horizontal="center" wrapText="1"/>
    </xf>
    <xf numFmtId="0" fontId="168" fillId="25" borderId="0" xfId="0" applyFont="1" applyFill="1" applyBorder="1"/>
    <xf numFmtId="0" fontId="167" fillId="25" borderId="0" xfId="0" applyFont="1" applyFill="1" applyBorder="1" applyAlignment="1">
      <alignment horizontal="center"/>
    </xf>
    <xf numFmtId="5" fontId="168" fillId="25" borderId="0" xfId="0" applyNumberFormat="1" applyFont="1" applyFill="1" applyBorder="1"/>
    <xf numFmtId="37" fontId="168" fillId="25" borderId="0" xfId="0" applyNumberFormat="1" applyFont="1" applyFill="1" applyBorder="1"/>
    <xf numFmtId="37" fontId="168" fillId="61" borderId="0" xfId="0" applyNumberFormat="1" applyFont="1" applyFill="1" applyBorder="1"/>
    <xf numFmtId="5" fontId="171" fillId="25" borderId="0" xfId="0" applyNumberFormat="1" applyFont="1" applyFill="1" applyBorder="1"/>
    <xf numFmtId="0" fontId="167" fillId="25" borderId="45" xfId="0" applyFont="1" applyFill="1" applyBorder="1" applyAlignment="1"/>
    <xf numFmtId="37" fontId="172" fillId="25" borderId="0" xfId="0" applyNumberFormat="1" applyFont="1" applyFill="1" applyBorder="1"/>
    <xf numFmtId="0" fontId="169" fillId="78" borderId="0" xfId="0" applyFont="1" applyFill="1" applyBorder="1" applyAlignment="1">
      <alignment horizontal="center" wrapText="1"/>
    </xf>
    <xf numFmtId="37" fontId="167" fillId="78" borderId="0" xfId="0" applyNumberFormat="1" applyFont="1" applyFill="1" applyBorder="1"/>
    <xf numFmtId="8" fontId="168" fillId="61" borderId="0" xfId="0" applyNumberFormat="1" applyFont="1" applyFill="1" applyBorder="1"/>
    <xf numFmtId="0" fontId="168" fillId="78" borderId="0" xfId="0" applyFont="1" applyFill="1" applyBorder="1"/>
    <xf numFmtId="0" fontId="167" fillId="78" borderId="0" xfId="0" applyFont="1" applyFill="1" applyBorder="1" applyAlignment="1">
      <alignment horizontal="center"/>
    </xf>
    <xf numFmtId="5" fontId="168" fillId="78" borderId="0" xfId="0" applyNumberFormat="1" applyFont="1" applyFill="1" applyBorder="1"/>
    <xf numFmtId="5" fontId="171" fillId="78" borderId="0" xfId="0" applyNumberFormat="1" applyFont="1" applyFill="1" applyBorder="1"/>
    <xf numFmtId="5" fontId="168" fillId="0" borderId="0" xfId="0" applyNumberFormat="1" applyFont="1"/>
    <xf numFmtId="165" fontId="168" fillId="78" borderId="0" xfId="0" applyNumberFormat="1" applyFont="1" applyFill="1" applyBorder="1"/>
    <xf numFmtId="0" fontId="169" fillId="66" borderId="0" xfId="0" applyFont="1" applyFill="1" applyBorder="1" applyAlignment="1">
      <alignment horizontal="center" wrapText="1"/>
    </xf>
    <xf numFmtId="0" fontId="168" fillId="66" borderId="0" xfId="0" applyFont="1" applyFill="1" applyBorder="1"/>
    <xf numFmtId="0" fontId="167" fillId="66" borderId="0" xfId="0" applyFont="1" applyFill="1" applyBorder="1" applyAlignment="1">
      <alignment horizontal="center"/>
    </xf>
    <xf numFmtId="5" fontId="168" fillId="66" borderId="0" xfId="0" applyNumberFormat="1" applyFont="1" applyFill="1" applyBorder="1" applyAlignment="1">
      <alignment horizontal="left"/>
    </xf>
    <xf numFmtId="5" fontId="171" fillId="66" borderId="0" xfId="0" applyNumberFormat="1" applyFont="1" applyFill="1" applyBorder="1"/>
    <xf numFmtId="5" fontId="171" fillId="61" borderId="0" xfId="0" applyNumberFormat="1" applyFont="1" applyFill="1" applyBorder="1"/>
    <xf numFmtId="5" fontId="171" fillId="82" borderId="0" xfId="0" applyNumberFormat="1" applyFont="1" applyFill="1" applyBorder="1"/>
    <xf numFmtId="5" fontId="170" fillId="66" borderId="0" xfId="0" applyNumberFormat="1" applyFont="1" applyFill="1" applyBorder="1"/>
    <xf numFmtId="5" fontId="168" fillId="66" borderId="0" xfId="0" applyNumberFormat="1" applyFont="1" applyFill="1" applyBorder="1"/>
    <xf numFmtId="166" fontId="171" fillId="66" borderId="0" xfId="0" applyNumberFormat="1" applyFont="1" applyFill="1" applyBorder="1"/>
    <xf numFmtId="5" fontId="171" fillId="66" borderId="9" xfId="0" applyNumberFormat="1" applyFont="1" applyFill="1" applyBorder="1"/>
    <xf numFmtId="5" fontId="171" fillId="61" borderId="9" xfId="0" applyNumberFormat="1" applyFont="1" applyFill="1" applyBorder="1"/>
    <xf numFmtId="0" fontId="174" fillId="0" borderId="0" xfId="0" applyFont="1" applyFill="1"/>
    <xf numFmtId="0" fontId="169" fillId="27" borderId="0" xfId="0" applyFont="1" applyFill="1" applyBorder="1" applyAlignment="1">
      <alignment horizontal="center" wrapText="1"/>
    </xf>
    <xf numFmtId="0" fontId="168" fillId="27" borderId="0" xfId="0" applyFont="1" applyFill="1" applyBorder="1"/>
    <xf numFmtId="0" fontId="167" fillId="27" borderId="0" xfId="0" applyFont="1" applyFill="1" applyBorder="1" applyAlignment="1">
      <alignment horizontal="center"/>
    </xf>
    <xf numFmtId="5" fontId="168" fillId="27" borderId="0" xfId="0" applyNumberFormat="1" applyFont="1" applyFill="1" applyBorder="1"/>
    <xf numFmtId="165" fontId="168" fillId="61" borderId="0" xfId="0" applyNumberFormat="1" applyFont="1" applyFill="1" applyBorder="1"/>
    <xf numFmtId="0" fontId="167" fillId="27" borderId="45" xfId="0" applyFont="1" applyFill="1" applyBorder="1" applyAlignment="1">
      <alignment horizontal="right"/>
    </xf>
    <xf numFmtId="5" fontId="171" fillId="27" borderId="0" xfId="0" applyNumberFormat="1" applyFont="1" applyFill="1" applyBorder="1"/>
    <xf numFmtId="10" fontId="168" fillId="27" borderId="0" xfId="0" applyNumberFormat="1" applyFont="1" applyFill="1" applyBorder="1"/>
    <xf numFmtId="5" fontId="171" fillId="27" borderId="9" xfId="0" applyNumberFormat="1" applyFont="1" applyFill="1" applyBorder="1"/>
    <xf numFmtId="0" fontId="168" fillId="27" borderId="9" xfId="0" applyFont="1" applyFill="1" applyBorder="1"/>
    <xf numFmtId="5" fontId="171" fillId="0" borderId="0" xfId="0" applyNumberFormat="1" applyFont="1" applyFill="1" applyBorder="1"/>
    <xf numFmtId="0" fontId="169" fillId="84" borderId="25" xfId="0" applyFont="1" applyFill="1" applyBorder="1" applyAlignment="1">
      <alignment horizontal="center" wrapText="1"/>
    </xf>
    <xf numFmtId="165" fontId="168" fillId="62" borderId="0" xfId="0" applyNumberFormat="1" applyFont="1" applyFill="1" applyBorder="1"/>
    <xf numFmtId="37" fontId="168" fillId="62" borderId="0" xfId="0" applyNumberFormat="1" applyFont="1" applyFill="1" applyBorder="1"/>
    <xf numFmtId="165" fontId="170" fillId="62" borderId="0" xfId="0" applyNumberFormat="1" applyFont="1" applyFill="1" applyBorder="1"/>
    <xf numFmtId="165" fontId="172" fillId="62" borderId="0" xfId="0" applyNumberFormat="1" applyFont="1" applyFill="1" applyBorder="1"/>
    <xf numFmtId="165" fontId="172" fillId="61" borderId="0" xfId="0" applyNumberFormat="1" applyFont="1" applyFill="1" applyBorder="1"/>
    <xf numFmtId="168" fontId="168" fillId="62" borderId="0" xfId="0" applyNumberFormat="1" applyFont="1" applyFill="1" applyBorder="1"/>
    <xf numFmtId="5" fontId="168" fillId="84" borderId="0" xfId="0" applyNumberFormat="1" applyFont="1" applyFill="1" applyBorder="1"/>
    <xf numFmtId="165" fontId="168" fillId="84" borderId="0" xfId="0" applyNumberFormat="1" applyFont="1" applyFill="1" applyBorder="1"/>
    <xf numFmtId="37" fontId="170" fillId="84" borderId="0" xfId="0" applyNumberFormat="1" applyFont="1" applyFill="1" applyBorder="1"/>
    <xf numFmtId="0" fontId="169" fillId="67" borderId="0" xfId="0" applyFont="1" applyFill="1" applyBorder="1" applyAlignment="1">
      <alignment horizontal="center" wrapText="1"/>
    </xf>
    <xf numFmtId="0" fontId="168" fillId="67" borderId="0" xfId="0" applyFont="1" applyFill="1" applyBorder="1"/>
    <xf numFmtId="0" fontId="167" fillId="67" borderId="0" xfId="0" applyFont="1" applyFill="1" applyBorder="1" applyAlignment="1">
      <alignment horizontal="center"/>
    </xf>
    <xf numFmtId="5" fontId="168" fillId="85" borderId="0" xfId="0" applyNumberFormat="1" applyFont="1" applyFill="1" applyBorder="1"/>
    <xf numFmtId="43" fontId="168" fillId="0" borderId="0" xfId="21991" applyFont="1" applyFill="1" applyBorder="1"/>
    <xf numFmtId="37" fontId="168" fillId="85" borderId="0" xfId="0" applyNumberFormat="1" applyFont="1" applyFill="1" applyBorder="1"/>
    <xf numFmtId="37" fontId="170" fillId="85" borderId="0" xfId="0" applyNumberFormat="1" applyFont="1" applyFill="1" applyBorder="1"/>
    <xf numFmtId="42" fontId="168" fillId="65" borderId="0" xfId="0" applyNumberFormat="1" applyFont="1" applyFill="1" applyBorder="1"/>
    <xf numFmtId="0" fontId="169" fillId="68" borderId="0" xfId="0" applyFont="1" applyFill="1" applyBorder="1" applyAlignment="1">
      <alignment horizontal="center" wrapText="1"/>
    </xf>
    <xf numFmtId="0" fontId="168" fillId="68" borderId="0" xfId="0" applyFont="1" applyFill="1" applyBorder="1"/>
    <xf numFmtId="0" fontId="167" fillId="68" borderId="0" xfId="0" applyFont="1" applyFill="1" applyBorder="1" applyAlignment="1">
      <alignment horizontal="center"/>
    </xf>
    <xf numFmtId="5" fontId="168" fillId="68" borderId="0" xfId="0" applyNumberFormat="1" applyFont="1" applyFill="1" applyBorder="1"/>
    <xf numFmtId="0" fontId="169" fillId="28" borderId="0" xfId="0" applyFont="1" applyFill="1" applyBorder="1" applyAlignment="1">
      <alignment horizontal="center" wrapText="1"/>
    </xf>
    <xf numFmtId="0" fontId="168" fillId="28" borderId="0" xfId="0" applyFont="1" applyFill="1" applyBorder="1"/>
    <xf numFmtId="0" fontId="167" fillId="28" borderId="0" xfId="0" applyFont="1" applyFill="1" applyBorder="1" applyAlignment="1">
      <alignment horizontal="center"/>
    </xf>
    <xf numFmtId="5" fontId="168" fillId="28" borderId="0" xfId="0" applyNumberFormat="1" applyFont="1" applyFill="1" applyBorder="1"/>
    <xf numFmtId="37" fontId="168" fillId="28" borderId="0" xfId="0" applyNumberFormat="1" applyFont="1" applyFill="1" applyBorder="1"/>
    <xf numFmtId="165" fontId="168" fillId="28" borderId="0" xfId="0" applyNumberFormat="1" applyFont="1" applyFill="1" applyBorder="1"/>
    <xf numFmtId="5" fontId="171" fillId="81" borderId="0" xfId="0" applyNumberFormat="1" applyFont="1" applyFill="1" applyBorder="1"/>
    <xf numFmtId="5" fontId="168" fillId="28" borderId="9" xfId="0" applyNumberFormat="1" applyFont="1" applyFill="1" applyBorder="1"/>
    <xf numFmtId="5" fontId="168" fillId="0" borderId="0" xfId="0" applyNumberFormat="1" applyFont="1" applyFill="1" applyBorder="1"/>
    <xf numFmtId="0" fontId="169" fillId="69" borderId="0" xfId="0" applyFont="1" applyFill="1" applyBorder="1" applyAlignment="1">
      <alignment horizontal="center" wrapText="1"/>
    </xf>
    <xf numFmtId="0" fontId="168" fillId="69" borderId="0" xfId="0" applyFont="1" applyFill="1" applyBorder="1"/>
    <xf numFmtId="0" fontId="168" fillId="83" borderId="0" xfId="0" applyFont="1" applyFill="1" applyBorder="1"/>
    <xf numFmtId="0" fontId="167" fillId="69" borderId="0" xfId="0" applyFont="1" applyFill="1" applyBorder="1" applyAlignment="1">
      <alignment horizontal="center"/>
    </xf>
    <xf numFmtId="165" fontId="172" fillId="27" borderId="0" xfId="0" applyNumberFormat="1" applyFont="1" applyFill="1" applyBorder="1"/>
    <xf numFmtId="0" fontId="169" fillId="68" borderId="0" xfId="0" applyFont="1" applyFill="1" applyBorder="1" applyAlignment="1">
      <alignment horizontal="center"/>
    </xf>
    <xf numFmtId="42" fontId="168" fillId="68" borderId="0" xfId="0" applyNumberFormat="1" applyFont="1" applyFill="1" applyBorder="1"/>
    <xf numFmtId="0" fontId="168" fillId="68" borderId="9" xfId="0" applyFont="1" applyFill="1" applyBorder="1"/>
    <xf numFmtId="0" fontId="119" fillId="72" borderId="56" xfId="21880" applyFill="1" applyBorder="1" applyAlignment="1">
      <alignment horizontal="left"/>
    </xf>
    <xf numFmtId="40" fontId="154" fillId="72" borderId="56" xfId="21881" applyNumberFormat="1" applyFont="1" applyFill="1" applyBorder="1" applyProtection="1">
      <protection hidden="1"/>
    </xf>
    <xf numFmtId="4" fontId="119" fillId="0" borderId="0" xfId="21880" applyNumberFormat="1"/>
    <xf numFmtId="4" fontId="119" fillId="61" borderId="0" xfId="21880" applyNumberFormat="1" applyFill="1"/>
    <xf numFmtId="0" fontId="119" fillId="89" borderId="0" xfId="21880" applyFill="1"/>
    <xf numFmtId="186" fontId="119" fillId="61" borderId="0" xfId="21880" applyNumberFormat="1" applyFill="1"/>
    <xf numFmtId="5" fontId="119" fillId="89" borderId="0" xfId="21880" applyNumberFormat="1" applyFill="1"/>
    <xf numFmtId="0" fontId="119" fillId="0" borderId="0" xfId="21880" applyAlignment="1">
      <alignment horizontal="center"/>
    </xf>
    <xf numFmtId="0" fontId="175" fillId="0" borderId="0" xfId="21880" applyFont="1" applyAlignment="1">
      <alignment horizontal="center"/>
    </xf>
    <xf numFmtId="0" fontId="135" fillId="72" borderId="56" xfId="21880" applyFont="1" applyFill="1" applyBorder="1"/>
    <xf numFmtId="166" fontId="155" fillId="84" borderId="0" xfId="21880" applyNumberFormat="1" applyFont="1" applyFill="1"/>
    <xf numFmtId="187" fontId="119" fillId="0" borderId="0" xfId="21880" applyNumberFormat="1"/>
    <xf numFmtId="10" fontId="135" fillId="72" borderId="0" xfId="21880" applyNumberFormat="1" applyFont="1" applyFill="1"/>
    <xf numFmtId="10" fontId="135" fillId="0" borderId="0" xfId="21880" applyNumberFormat="1" applyFont="1" applyFill="1"/>
    <xf numFmtId="0" fontId="111" fillId="0" borderId="27" xfId="26510" applyFont="1" applyBorder="1" applyAlignment="1">
      <alignment horizontal="center"/>
    </xf>
    <xf numFmtId="166" fontId="9" fillId="0" borderId="27" xfId="26510" applyNumberFormat="1" applyBorder="1"/>
    <xf numFmtId="166" fontId="9" fillId="61" borderId="27" xfId="26510" applyNumberFormat="1" applyFill="1" applyBorder="1"/>
    <xf numFmtId="169" fontId="9" fillId="0" borderId="27" xfId="26510" applyNumberFormat="1" applyBorder="1"/>
    <xf numFmtId="169" fontId="9" fillId="61" borderId="27" xfId="26510" applyNumberFormat="1" applyFill="1" applyBorder="1"/>
    <xf numFmtId="4" fontId="154" fillId="0" borderId="0" xfId="21881" applyNumberFormat="1" applyFont="1" applyFill="1" applyAlignment="1" applyProtection="1">
      <alignment horizontal="center" wrapText="1"/>
      <protection hidden="1"/>
    </xf>
    <xf numFmtId="5" fontId="135" fillId="0" borderId="0" xfId="21880" applyNumberFormat="1" applyFont="1" applyAlignment="1">
      <alignment horizontal="center" wrapText="1"/>
    </xf>
    <xf numFmtId="5" fontId="176" fillId="0" borderId="0" xfId="21880" applyNumberFormat="1" applyFont="1"/>
    <xf numFmtId="5" fontId="135" fillId="0" borderId="0" xfId="21880" applyNumberFormat="1" applyFont="1"/>
    <xf numFmtId="5" fontId="177" fillId="0" borderId="0" xfId="21880" applyNumberFormat="1" applyFont="1"/>
    <xf numFmtId="0" fontId="0" fillId="0" borderId="24" xfId="0" applyBorder="1"/>
    <xf numFmtId="0" fontId="80" fillId="0" borderId="25" xfId="0" applyFont="1" applyBorder="1" applyAlignment="1">
      <alignment horizontal="center"/>
    </xf>
    <xf numFmtId="0" fontId="80" fillId="0" borderId="15" xfId="0" applyFont="1" applyBorder="1" applyAlignment="1">
      <alignment horizontal="center"/>
    </xf>
    <xf numFmtId="0" fontId="81" fillId="0" borderId="13" xfId="0" applyFont="1" applyBorder="1"/>
    <xf numFmtId="37" fontId="0" fillId="0" borderId="0" xfId="0" applyNumberFormat="1" applyBorder="1"/>
    <xf numFmtId="37" fontId="0" fillId="0" borderId="16" xfId="0" applyNumberFormat="1" applyBorder="1"/>
    <xf numFmtId="42" fontId="0" fillId="0" borderId="0" xfId="0" applyNumberFormat="1" applyBorder="1"/>
    <xf numFmtId="42" fontId="0" fillId="0" borderId="16" xfId="0" applyNumberFormat="1" applyBorder="1"/>
    <xf numFmtId="0" fontId="81" fillId="0" borderId="17" xfId="0" applyFont="1" applyBorder="1"/>
    <xf numFmtId="42" fontId="0" fillId="0" borderId="18" xfId="0" applyNumberFormat="1" applyBorder="1"/>
    <xf numFmtId="0" fontId="169" fillId="25" borderId="0" xfId="0" applyFont="1" applyFill="1" applyBorder="1" applyAlignment="1">
      <alignment horizontal="center" wrapText="1"/>
    </xf>
    <xf numFmtId="0" fontId="169" fillId="27" borderId="0" xfId="0" applyFont="1" applyFill="1" applyBorder="1" applyAlignment="1">
      <alignment horizontal="center" wrapText="1"/>
    </xf>
    <xf numFmtId="0" fontId="169" fillId="67" borderId="0" xfId="0" applyFont="1" applyFill="1" applyBorder="1" applyAlignment="1">
      <alignment horizontal="center" wrapText="1"/>
    </xf>
    <xf numFmtId="0" fontId="169" fillId="65" borderId="0" xfId="0" applyFont="1" applyFill="1" applyBorder="1" applyAlignment="1">
      <alignment horizontal="center" wrapText="1"/>
    </xf>
    <xf numFmtId="0" fontId="169" fillId="0" borderId="0" xfId="0" applyFont="1" applyFill="1" applyAlignment="1">
      <alignment horizontal="center"/>
    </xf>
    <xf numFmtId="0" fontId="169" fillId="64" borderId="0" xfId="0" applyFont="1" applyFill="1" applyBorder="1" applyAlignment="1">
      <alignment horizontal="center"/>
    </xf>
    <xf numFmtId="0" fontId="169" fillId="80" borderId="0" xfId="0" applyFont="1" applyFill="1" applyBorder="1" applyAlignment="1">
      <alignment horizontal="center" wrapText="1"/>
    </xf>
    <xf numFmtId="0" fontId="169" fillId="28" borderId="0" xfId="0" applyFont="1" applyFill="1" applyBorder="1" applyAlignment="1">
      <alignment horizontal="center" wrapText="1"/>
    </xf>
    <xf numFmtId="0" fontId="169" fillId="68" borderId="0" xfId="0" applyFont="1" applyFill="1" applyBorder="1" applyAlignment="1">
      <alignment horizontal="center" wrapText="1"/>
    </xf>
    <xf numFmtId="0" fontId="169" fillId="78" borderId="0" xfId="0" applyFont="1" applyFill="1" applyBorder="1" applyAlignment="1">
      <alignment horizontal="center" wrapText="1"/>
    </xf>
    <xf numFmtId="0" fontId="169" fillId="66" borderId="0" xfId="0" applyFont="1" applyFill="1" applyBorder="1" applyAlignment="1">
      <alignment horizontal="center" wrapText="1"/>
    </xf>
    <xf numFmtId="0" fontId="169" fillId="69" borderId="0" xfId="0" applyFont="1" applyFill="1" applyBorder="1" applyAlignment="1">
      <alignment horizontal="center" wrapText="1"/>
    </xf>
    <xf numFmtId="0" fontId="35" fillId="0" borderId="0" xfId="21993" applyFont="1" applyAlignment="1">
      <alignment horizontal="center"/>
    </xf>
    <xf numFmtId="0" fontId="0" fillId="0" borderId="40" xfId="0" applyBorder="1"/>
    <xf numFmtId="0" fontId="0" fillId="0" borderId="42" xfId="0" applyBorder="1"/>
    <xf numFmtId="0" fontId="0" fillId="0" borderId="54" xfId="0" applyBorder="1"/>
    <xf numFmtId="166" fontId="0" fillId="93" borderId="46" xfId="0" applyNumberFormat="1" applyFill="1" applyBorder="1"/>
    <xf numFmtId="166" fontId="89" fillId="93" borderId="46" xfId="0" applyNumberFormat="1" applyFont="1" applyFill="1" applyBorder="1"/>
    <xf numFmtId="166" fontId="0" fillId="74" borderId="0" xfId="0" applyNumberFormat="1" applyFont="1" applyFill="1"/>
    <xf numFmtId="166" fontId="156" fillId="74" borderId="0" xfId="0" applyNumberFormat="1" applyFont="1" applyFill="1"/>
    <xf numFmtId="0" fontId="0" fillId="74" borderId="0" xfId="0" applyFont="1" applyFill="1"/>
    <xf numFmtId="166" fontId="0" fillId="0" borderId="0" xfId="0" applyNumberFormat="1" applyFont="1"/>
    <xf numFmtId="166" fontId="165" fillId="0" borderId="0" xfId="0" applyNumberFormat="1" applyFont="1" applyAlignment="1">
      <alignment horizontal="center"/>
    </xf>
    <xf numFmtId="166" fontId="0" fillId="0" borderId="0" xfId="21997" applyNumberFormat="1" applyFont="1"/>
    <xf numFmtId="14" fontId="163" fillId="0" borderId="0" xfId="0" applyNumberFormat="1" applyFont="1"/>
    <xf numFmtId="41" fontId="0" fillId="0" borderId="0" xfId="0" applyNumberFormat="1" applyFont="1"/>
    <xf numFmtId="37" fontId="24" fillId="0" borderId="0" xfId="2950" applyNumberFormat="1" applyAlignment="1" applyProtection="1">
      <alignment horizontal="centerContinuous"/>
      <protection locked="0"/>
    </xf>
    <xf numFmtId="37" fontId="24" fillId="0" borderId="0" xfId="2950" applyNumberFormat="1" applyFont="1" applyAlignment="1" applyProtection="1">
      <alignment horizontal="centerContinuous"/>
      <protection locked="0"/>
    </xf>
    <xf numFmtId="0" fontId="178" fillId="0" borderId="0" xfId="0" applyFont="1" applyAlignment="1">
      <alignment wrapText="1"/>
    </xf>
    <xf numFmtId="0" fontId="179" fillId="74" borderId="0" xfId="0" applyFont="1" applyFill="1" applyAlignment="1">
      <alignment horizontal="center" wrapText="1"/>
    </xf>
    <xf numFmtId="37" fontId="24" fillId="0" borderId="14" xfId="1513" applyNumberFormat="1" applyFont="1" applyFill="1" applyBorder="1" applyProtection="1">
      <protection locked="0"/>
    </xf>
    <xf numFmtId="37" fontId="24" fillId="0" borderId="15" xfId="1513" applyNumberFormat="1" applyFont="1" applyFill="1" applyBorder="1" applyProtection="1">
      <protection locked="0"/>
    </xf>
    <xf numFmtId="37" fontId="24" fillId="0" borderId="23" xfId="1513" applyNumberFormat="1" applyFont="1" applyFill="1" applyBorder="1" applyProtection="1">
      <protection locked="0"/>
    </xf>
    <xf numFmtId="37" fontId="24" fillId="0" borderId="16" xfId="1513" applyNumberFormat="1" applyFont="1" applyFill="1" applyBorder="1" applyProtection="1">
      <protection locked="0"/>
    </xf>
    <xf numFmtId="37" fontId="26" fillId="0" borderId="23" xfId="2264" applyNumberFormat="1" applyFont="1" applyFill="1" applyBorder="1" applyProtection="1">
      <protection locked="0"/>
    </xf>
    <xf numFmtId="37" fontId="26" fillId="0" borderId="16" xfId="2264" applyNumberFormat="1" applyFont="1" applyFill="1" applyBorder="1" applyProtection="1">
      <protection locked="0"/>
    </xf>
    <xf numFmtId="37" fontId="26" fillId="0" borderId="26" xfId="2264" applyNumberFormat="1" applyFont="1" applyFill="1" applyBorder="1" applyProtection="1">
      <protection locked="0"/>
    </xf>
    <xf numFmtId="37" fontId="26" fillId="0" borderId="20" xfId="2264" applyNumberFormat="1" applyFont="1" applyFill="1" applyBorder="1" applyProtection="1">
      <protection locked="0"/>
    </xf>
    <xf numFmtId="37" fontId="26" fillId="27" borderId="17" xfId="1513" applyNumberFormat="1" applyFont="1" applyFill="1" applyBorder="1" applyProtection="1">
      <protection locked="0"/>
    </xf>
    <xf numFmtId="37" fontId="26" fillId="27" borderId="27" xfId="1513" applyNumberFormat="1" applyFont="1" applyFill="1" applyBorder="1" applyProtection="1">
      <protection locked="0"/>
    </xf>
    <xf numFmtId="37" fontId="26" fillId="27" borderId="20" xfId="1513" applyNumberFormat="1" applyFont="1" applyFill="1" applyBorder="1" applyProtection="1">
      <protection locked="0"/>
    </xf>
    <xf numFmtId="0" fontId="179" fillId="0" borderId="0" xfId="0" applyFont="1" applyAlignment="1">
      <alignment horizontal="left" wrapText="1"/>
    </xf>
    <xf numFmtId="37" fontId="26" fillId="0" borderId="13" xfId="2950" applyNumberFormat="1" applyFont="1" applyFill="1" applyBorder="1" applyProtection="1">
      <protection locked="0"/>
    </xf>
    <xf numFmtId="37" fontId="26" fillId="0" borderId="23" xfId="2950" applyNumberFormat="1" applyFont="1" applyFill="1" applyBorder="1" applyProtection="1">
      <protection locked="0"/>
    </xf>
    <xf numFmtId="37" fontId="26" fillId="0" borderId="16" xfId="2950" applyNumberFormat="1" applyFont="1" applyFill="1" applyBorder="1" applyProtection="1">
      <protection locked="0"/>
    </xf>
    <xf numFmtId="37" fontId="26" fillId="27" borderId="49" xfId="1513" applyNumberFormat="1" applyFont="1" applyFill="1" applyBorder="1" applyProtection="1">
      <protection locked="0"/>
    </xf>
    <xf numFmtId="37" fontId="26" fillId="27" borderId="51" xfId="1513" applyNumberFormat="1" applyFont="1" applyFill="1" applyBorder="1" applyProtection="1">
      <protection locked="0"/>
    </xf>
    <xf numFmtId="37" fontId="26" fillId="28" borderId="49" xfId="1513" applyNumberFormat="1" applyFont="1" applyFill="1" applyBorder="1" applyProtection="1">
      <protection locked="0"/>
    </xf>
    <xf numFmtId="37" fontId="26" fillId="28" borderId="27" xfId="1513" applyNumberFormat="1" applyFont="1" applyFill="1" applyBorder="1" applyProtection="1">
      <protection locked="0"/>
    </xf>
    <xf numFmtId="37" fontId="26" fillId="28" borderId="51" xfId="1513" applyNumberFormat="1" applyFont="1" applyFill="1" applyBorder="1" applyProtection="1">
      <protection locked="0"/>
    </xf>
    <xf numFmtId="37" fontId="26" fillId="0" borderId="24" xfId="2950" applyNumberFormat="1" applyFont="1" applyFill="1" applyBorder="1" applyProtection="1">
      <protection locked="0"/>
    </xf>
    <xf numFmtId="37" fontId="26" fillId="0" borderId="14" xfId="2950" applyNumberFormat="1" applyFont="1" applyFill="1" applyBorder="1" applyProtection="1">
      <protection locked="0"/>
    </xf>
    <xf numFmtId="37" fontId="26" fillId="0" borderId="15" xfId="2950" applyNumberFormat="1" applyFont="1" applyFill="1" applyBorder="1" applyProtection="1">
      <protection locked="0"/>
    </xf>
    <xf numFmtId="37" fontId="26" fillId="0" borderId="13" xfId="1513" applyNumberFormat="1" applyFont="1" applyFill="1" applyBorder="1" applyProtection="1">
      <protection locked="0"/>
    </xf>
    <xf numFmtId="37" fontId="26" fillId="28" borderId="20" xfId="1513" applyNumberFormat="1" applyFont="1" applyFill="1" applyBorder="1" applyProtection="1">
      <protection locked="0"/>
    </xf>
    <xf numFmtId="37" fontId="26" fillId="27" borderId="21" xfId="1513" applyNumberFormat="1" applyFont="1" applyFill="1" applyBorder="1" applyProtection="1">
      <protection locked="0"/>
    </xf>
    <xf numFmtId="37" fontId="26" fillId="27" borderId="59" xfId="1513" applyNumberFormat="1" applyFont="1" applyFill="1" applyBorder="1" applyProtection="1">
      <protection locked="0"/>
    </xf>
    <xf numFmtId="37" fontId="26" fillId="27" borderId="60" xfId="1513" applyNumberFormat="1" applyFont="1" applyFill="1" applyBorder="1" applyProtection="1">
      <protection locked="0"/>
    </xf>
    <xf numFmtId="37" fontId="26" fillId="28" borderId="17" xfId="1513" applyNumberFormat="1" applyFont="1" applyFill="1" applyBorder="1" applyProtection="1">
      <protection locked="0"/>
    </xf>
    <xf numFmtId="37" fontId="26" fillId="28" borderId="26" xfId="1513" applyNumberFormat="1" applyFont="1" applyFill="1" applyBorder="1" applyProtection="1">
      <protection locked="0"/>
    </xf>
    <xf numFmtId="37" fontId="26" fillId="28" borderId="17" xfId="1513" applyNumberFormat="1" applyFont="1" applyFill="1" applyBorder="1" applyAlignment="1" applyProtection="1">
      <alignment horizontal="right"/>
      <protection locked="0"/>
    </xf>
    <xf numFmtId="37" fontId="26" fillId="28" borderId="27" xfId="1513" applyNumberFormat="1" applyFont="1" applyFill="1" applyBorder="1" applyAlignment="1" applyProtection="1">
      <alignment horizontal="right"/>
      <protection locked="0"/>
    </xf>
    <xf numFmtId="37" fontId="26" fillId="28" borderId="20" xfId="1513" applyNumberFormat="1" applyFont="1" applyFill="1" applyBorder="1" applyAlignment="1" applyProtection="1">
      <alignment horizontal="right"/>
      <protection locked="0"/>
    </xf>
    <xf numFmtId="37" fontId="26" fillId="0" borderId="49" xfId="2950" applyNumberFormat="1" applyFont="1" applyFill="1" applyBorder="1" applyProtection="1">
      <protection locked="0"/>
    </xf>
    <xf numFmtId="37" fontId="26" fillId="0" borderId="27" xfId="2950" applyNumberFormat="1" applyFont="1" applyFill="1" applyBorder="1" applyProtection="1">
      <protection locked="0"/>
    </xf>
    <xf numFmtId="37" fontId="26" fillId="0" borderId="51" xfId="2950" applyNumberFormat="1" applyFont="1" applyFill="1" applyBorder="1" applyProtection="1">
      <protection locked="0"/>
    </xf>
    <xf numFmtId="37" fontId="26" fillId="27" borderId="19" xfId="1513" applyNumberFormat="1" applyFont="1" applyFill="1" applyBorder="1" applyProtection="1">
      <protection locked="0"/>
    </xf>
    <xf numFmtId="37" fontId="26" fillId="0" borderId="17" xfId="1513" applyNumberFormat="1" applyFont="1" applyFill="1" applyBorder="1" applyProtection="1">
      <protection locked="0"/>
    </xf>
    <xf numFmtId="37" fontId="26" fillId="0" borderId="23" xfId="1513" applyNumberFormat="1" applyFont="1" applyFill="1" applyBorder="1" applyProtection="1">
      <protection locked="0"/>
    </xf>
    <xf numFmtId="37" fontId="26" fillId="0" borderId="26" xfId="1513" applyNumberFormat="1" applyFont="1" applyFill="1" applyBorder="1" applyProtection="1">
      <protection locked="0"/>
    </xf>
    <xf numFmtId="37" fontId="26" fillId="0" borderId="20" xfId="1513" applyNumberFormat="1" applyFont="1" applyFill="1" applyBorder="1" applyProtection="1">
      <protection locked="0"/>
    </xf>
    <xf numFmtId="37" fontId="26" fillId="0" borderId="27" xfId="1513" applyNumberFormat="1" applyFont="1" applyFill="1" applyBorder="1" applyProtection="1">
      <protection locked="0"/>
    </xf>
    <xf numFmtId="37" fontId="26" fillId="0" borderId="51" xfId="1513" applyNumberFormat="1" applyFont="1" applyFill="1" applyBorder="1" applyProtection="1">
      <protection locked="0"/>
    </xf>
    <xf numFmtId="37" fontId="38" fillId="27" borderId="27" xfId="1513" applyNumberFormat="1" applyFont="1" applyFill="1" applyBorder="1" applyProtection="1">
      <protection locked="0"/>
    </xf>
    <xf numFmtId="37" fontId="38" fillId="27" borderId="51" xfId="1513" applyNumberFormat="1" applyFont="1" applyFill="1" applyBorder="1" applyProtection="1">
      <protection locked="0"/>
    </xf>
    <xf numFmtId="37" fontId="26" fillId="0" borderId="16" xfId="1513" applyNumberFormat="1" applyFont="1" applyFill="1" applyBorder="1" applyProtection="1">
      <protection locked="0"/>
    </xf>
    <xf numFmtId="37" fontId="26" fillId="0" borderId="26" xfId="2950" applyNumberFormat="1" applyFont="1" applyFill="1" applyBorder="1" applyProtection="1">
      <protection locked="0"/>
    </xf>
    <xf numFmtId="37" fontId="26" fillId="0" borderId="20" xfId="2950" applyNumberFormat="1" applyFont="1" applyFill="1" applyBorder="1" applyProtection="1">
      <protection locked="0"/>
    </xf>
    <xf numFmtId="37" fontId="26" fillId="28" borderId="29" xfId="2264" applyNumberFormat="1" applyFont="1" applyFill="1" applyBorder="1" applyProtection="1">
      <protection locked="0"/>
    </xf>
    <xf numFmtId="37" fontId="26" fillId="28" borderId="61" xfId="2264" applyNumberFormat="1" applyFont="1" applyFill="1" applyBorder="1" applyProtection="1">
      <protection locked="0"/>
    </xf>
    <xf numFmtId="37" fontId="26" fillId="28" borderId="31" xfId="2264" applyNumberFormat="1" applyFont="1" applyFill="1" applyBorder="1" applyProtection="1">
      <protection locked="0"/>
    </xf>
    <xf numFmtId="37" fontId="26" fillId="0" borderId="0" xfId="2950" applyNumberFormat="1" applyFont="1"/>
    <xf numFmtId="37" fontId="0" fillId="0" borderId="0" xfId="0" applyNumberFormat="1"/>
    <xf numFmtId="169" fontId="0" fillId="0" borderId="0" xfId="0" applyNumberFormat="1" applyFont="1"/>
    <xf numFmtId="0" fontId="35" fillId="0" borderId="0" xfId="21993" applyFont="1" applyAlignment="1">
      <alignment horizontal="center"/>
    </xf>
    <xf numFmtId="0" fontId="31" fillId="0" borderId="0" xfId="2950" applyFont="1" applyFill="1" applyBorder="1" applyAlignment="1" applyProtection="1">
      <alignment horizontal="centerContinuous"/>
      <protection locked="0"/>
    </xf>
    <xf numFmtId="0" fontId="24" fillId="0" borderId="0" xfId="2950" applyFont="1" applyFill="1" applyBorder="1" applyAlignment="1" applyProtection="1">
      <alignment horizontal="centerContinuous"/>
      <protection locked="0"/>
    </xf>
    <xf numFmtId="170" fontId="24" fillId="0" borderId="0" xfId="2950" applyNumberFormat="1" applyFont="1" applyFill="1" applyBorder="1" applyAlignment="1" applyProtection="1">
      <alignment horizontal="centerContinuous"/>
      <protection locked="0"/>
    </xf>
    <xf numFmtId="0" fontId="29" fillId="97" borderId="49" xfId="2950" applyFont="1" applyFill="1" applyBorder="1" applyAlignment="1" applyProtection="1">
      <alignment horizontal="centerContinuous"/>
      <protection locked="0"/>
    </xf>
    <xf numFmtId="0" fontId="30" fillId="97" borderId="50" xfId="2950" applyFont="1" applyFill="1" applyBorder="1" applyAlignment="1" applyProtection="1">
      <alignment horizontal="centerContinuous"/>
      <protection locked="0"/>
    </xf>
    <xf numFmtId="0" fontId="30" fillId="97" borderId="51" xfId="2950" applyFont="1" applyFill="1" applyBorder="1" applyAlignment="1" applyProtection="1">
      <alignment horizontal="centerContinuous"/>
      <protection locked="0"/>
    </xf>
    <xf numFmtId="170" fontId="24" fillId="97" borderId="13" xfId="2950" applyNumberFormat="1" applyFont="1" applyFill="1" applyBorder="1" applyAlignment="1" applyProtection="1">
      <alignment horizontal="center"/>
      <protection locked="0"/>
    </xf>
    <xf numFmtId="0" fontId="24" fillId="97" borderId="0" xfId="2950" applyFont="1" applyFill="1" applyBorder="1" applyProtection="1">
      <protection locked="0"/>
    </xf>
    <xf numFmtId="0" fontId="24" fillId="97" borderId="13" xfId="2950" applyFont="1" applyFill="1" applyBorder="1" applyAlignment="1" applyProtection="1">
      <alignment horizontal="center"/>
      <protection locked="0"/>
    </xf>
    <xf numFmtId="0" fontId="24" fillId="97" borderId="16" xfId="2950" applyFont="1" applyFill="1" applyBorder="1" applyAlignment="1" applyProtection="1">
      <alignment horizontal="center"/>
      <protection locked="0"/>
    </xf>
    <xf numFmtId="170" fontId="24" fillId="97" borderId="17" xfId="2950" applyNumberFormat="1" applyFont="1" applyFill="1" applyBorder="1" applyAlignment="1" applyProtection="1">
      <alignment horizontal="center"/>
      <protection locked="0"/>
    </xf>
    <xf numFmtId="0" fontId="24" fillId="97" borderId="18" xfId="2950" applyFont="1" applyFill="1" applyBorder="1" applyProtection="1">
      <protection locked="0"/>
    </xf>
    <xf numFmtId="0" fontId="24" fillId="97" borderId="20" xfId="2950" applyFont="1" applyFill="1" applyBorder="1" applyAlignment="1" applyProtection="1">
      <alignment horizontal="center"/>
      <protection locked="0"/>
    </xf>
    <xf numFmtId="166" fontId="80" fillId="61" borderId="0" xfId="0" applyNumberFormat="1" applyFont="1" applyFill="1" applyAlignment="1">
      <alignment horizontal="center"/>
    </xf>
    <xf numFmtId="166" fontId="0" fillId="61" borderId="0" xfId="21997" applyNumberFormat="1" applyFont="1" applyFill="1"/>
    <xf numFmtId="166" fontId="80" fillId="98" borderId="0" xfId="0" applyNumberFormat="1" applyFont="1" applyFill="1" applyAlignment="1">
      <alignment horizontal="center"/>
    </xf>
    <xf numFmtId="166" fontId="0" fillId="98" borderId="0" xfId="0" applyNumberFormat="1" applyFont="1" applyFill="1"/>
    <xf numFmtId="15" fontId="81" fillId="75" borderId="27" xfId="0" applyNumberFormat="1" applyFont="1" applyFill="1" applyBorder="1"/>
    <xf numFmtId="0" fontId="169" fillId="25" borderId="0" xfId="0" applyFont="1" applyFill="1" applyBorder="1" applyAlignment="1">
      <alignment horizontal="center" wrapText="1"/>
    </xf>
    <xf numFmtId="0" fontId="169" fillId="27" borderId="0" xfId="0" applyFont="1" applyFill="1" applyBorder="1" applyAlignment="1">
      <alignment horizontal="center" wrapText="1"/>
    </xf>
    <xf numFmtId="0" fontId="169" fillId="84" borderId="25" xfId="0" applyFont="1" applyFill="1" applyBorder="1" applyAlignment="1">
      <alignment horizontal="center" wrapText="1"/>
    </xf>
    <xf numFmtId="0" fontId="169" fillId="67" borderId="0" xfId="0" applyFont="1" applyFill="1" applyBorder="1" applyAlignment="1">
      <alignment horizontal="center" wrapText="1"/>
    </xf>
    <xf numFmtId="0" fontId="169" fillId="65" borderId="0" xfId="0" applyFont="1" applyFill="1" applyBorder="1" applyAlignment="1">
      <alignment horizontal="center" wrapText="1"/>
    </xf>
    <xf numFmtId="0" fontId="169" fillId="0" borderId="0" xfId="0" applyFont="1" applyFill="1" applyAlignment="1">
      <alignment horizontal="center"/>
    </xf>
    <xf numFmtId="0" fontId="169" fillId="64" borderId="0" xfId="0" applyFont="1" applyFill="1" applyBorder="1" applyAlignment="1">
      <alignment horizontal="center"/>
    </xf>
    <xf numFmtId="0" fontId="169" fillId="80" borderId="0" xfId="0" applyFont="1" applyFill="1" applyBorder="1" applyAlignment="1">
      <alignment horizontal="center" wrapText="1"/>
    </xf>
    <xf numFmtId="0" fontId="169" fillId="28" borderId="0" xfId="0" applyFont="1" applyFill="1" applyBorder="1" applyAlignment="1">
      <alignment horizontal="center" wrapText="1"/>
    </xf>
    <xf numFmtId="0" fontId="169" fillId="68" borderId="0" xfId="0" applyFont="1" applyFill="1" applyBorder="1" applyAlignment="1">
      <alignment horizontal="center" wrapText="1"/>
    </xf>
    <xf numFmtId="0" fontId="169" fillId="78" borderId="0" xfId="0" applyFont="1" applyFill="1" applyBorder="1" applyAlignment="1">
      <alignment horizontal="center" wrapText="1"/>
    </xf>
    <xf numFmtId="0" fontId="169" fillId="66" borderId="0" xfId="0" applyFont="1" applyFill="1" applyBorder="1" applyAlignment="1">
      <alignment horizontal="center" wrapText="1"/>
    </xf>
    <xf numFmtId="0" fontId="169" fillId="69" borderId="0" xfId="0" applyFont="1" applyFill="1" applyBorder="1" applyAlignment="1">
      <alignment horizontal="center" wrapText="1"/>
    </xf>
    <xf numFmtId="0" fontId="35" fillId="0" borderId="0" xfId="21993" applyFont="1" applyAlignment="1">
      <alignment horizontal="center"/>
    </xf>
    <xf numFmtId="37" fontId="178" fillId="0" borderId="0" xfId="0" applyNumberFormat="1" applyFont="1" applyAlignment="1">
      <alignment wrapText="1"/>
    </xf>
    <xf numFmtId="10" fontId="33" fillId="0" borderId="0" xfId="21992" applyNumberFormat="1" applyFont="1"/>
    <xf numFmtId="37" fontId="81" fillId="0" borderId="0" xfId="259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8" fillId="0" borderId="0" xfId="27897"/>
    <xf numFmtId="5" fontId="119" fillId="95" borderId="0" xfId="21880" applyNumberFormat="1" applyFill="1"/>
    <xf numFmtId="5" fontId="119" fillId="74" borderId="27" xfId="21880" applyNumberFormat="1" applyFill="1" applyBorder="1"/>
    <xf numFmtId="5" fontId="119" fillId="0" borderId="27" xfId="21880" applyNumberFormat="1" applyBorder="1" applyAlignment="1">
      <alignment horizontal="center"/>
    </xf>
    <xf numFmtId="41" fontId="33" fillId="0" borderId="0" xfId="0" applyNumberFormat="1" applyFont="1"/>
    <xf numFmtId="168" fontId="33" fillId="0" borderId="0" xfId="21992" applyNumberFormat="1" applyFont="1" applyFill="1"/>
    <xf numFmtId="3" fontId="24" fillId="61" borderId="0" xfId="2950" applyNumberFormat="1" applyFill="1" applyAlignment="1" applyProtection="1">
      <alignment horizontal="right"/>
      <protection locked="0"/>
    </xf>
    <xf numFmtId="3" fontId="0" fillId="61" borderId="0" xfId="0" applyNumberFormat="1" applyFill="1" applyAlignment="1">
      <alignment horizontal="right"/>
    </xf>
    <xf numFmtId="0" fontId="119" fillId="78" borderId="0" xfId="21880" applyFill="1"/>
    <xf numFmtId="14" fontId="119" fillId="78" borderId="0" xfId="21880" applyNumberFormat="1" applyFill="1" applyAlignment="1">
      <alignment horizontal="center"/>
    </xf>
    <xf numFmtId="0" fontId="119" fillId="78" borderId="0" xfId="21880" applyFill="1" applyAlignment="1">
      <alignment horizontal="center"/>
    </xf>
    <xf numFmtId="0" fontId="175" fillId="78" borderId="0" xfId="21880" applyFont="1" applyFill="1" applyAlignment="1">
      <alignment horizontal="center"/>
    </xf>
    <xf numFmtId="43" fontId="119" fillId="0" borderId="0" xfId="21880" applyNumberFormat="1"/>
    <xf numFmtId="5" fontId="0" fillId="78" borderId="0" xfId="0" applyNumberFormat="1" applyFill="1"/>
    <xf numFmtId="0" fontId="158" fillId="93" borderId="0" xfId="0" applyFont="1" applyFill="1" applyAlignment="1"/>
    <xf numFmtId="0" fontId="0" fillId="93" borderId="0" xfId="0" applyFill="1"/>
    <xf numFmtId="0" fontId="0" fillId="93" borderId="41" xfId="0" applyFill="1" applyBorder="1"/>
    <xf numFmtId="0" fontId="0" fillId="93" borderId="9" xfId="0" applyFill="1" applyBorder="1" applyAlignment="1">
      <alignment horizontal="right"/>
    </xf>
    <xf numFmtId="0" fontId="158" fillId="80" borderId="0" xfId="0" applyFont="1" applyFill="1" applyAlignment="1"/>
    <xf numFmtId="0" fontId="0" fillId="80" borderId="0" xfId="0" applyFill="1"/>
    <xf numFmtId="0" fontId="0" fillId="80" borderId="41" xfId="0" applyFill="1" applyBorder="1"/>
    <xf numFmtId="0" fontId="0" fillId="80" borderId="9" xfId="0" applyFill="1" applyBorder="1" applyAlignment="1">
      <alignment horizontal="right"/>
    </xf>
    <xf numFmtId="0" fontId="158" fillId="94" borderId="0" xfId="0" applyFont="1" applyFill="1" applyAlignment="1"/>
    <xf numFmtId="0" fontId="0" fillId="94" borderId="0" xfId="0" applyFill="1"/>
    <xf numFmtId="0" fontId="0" fillId="94" borderId="41" xfId="0" applyFill="1" applyBorder="1"/>
    <xf numFmtId="0" fontId="0" fillId="94" borderId="9" xfId="0" applyFill="1" applyBorder="1" applyAlignment="1">
      <alignment horizontal="right"/>
    </xf>
    <xf numFmtId="0" fontId="158" fillId="90" borderId="0" xfId="0" applyFont="1" applyFill="1" applyAlignment="1"/>
    <xf numFmtId="0" fontId="0" fillId="90" borderId="0" xfId="0" applyFill="1"/>
    <xf numFmtId="0" fontId="0" fillId="90" borderId="41" xfId="0" applyFill="1" applyBorder="1"/>
    <xf numFmtId="182" fontId="0" fillId="61" borderId="41" xfId="0" applyNumberFormat="1" applyFill="1" applyBorder="1"/>
    <xf numFmtId="182" fontId="0" fillId="61" borderId="0" xfId="0" applyNumberFormat="1" applyFill="1" applyBorder="1"/>
    <xf numFmtId="0" fontId="0" fillId="90" borderId="9" xfId="0" applyFill="1" applyBorder="1" applyAlignment="1">
      <alignment horizontal="right"/>
    </xf>
    <xf numFmtId="0" fontId="35" fillId="0" borderId="0" xfId="21993" applyFont="1" applyAlignment="1">
      <alignment horizontal="left"/>
    </xf>
    <xf numFmtId="9" fontId="168" fillId="80" borderId="0" xfId="21992" applyFont="1" applyFill="1" applyBorder="1"/>
    <xf numFmtId="10" fontId="168" fillId="80" borderId="0" xfId="21992" applyNumberFormat="1" applyFont="1" applyFill="1" applyBorder="1"/>
    <xf numFmtId="188" fontId="8" fillId="0" borderId="0" xfId="27898" applyNumberFormat="1" applyFont="1"/>
    <xf numFmtId="188" fontId="168" fillId="68" borderId="0" xfId="27898" applyNumberFormat="1" applyFont="1" applyFill="1" applyBorder="1"/>
    <xf numFmtId="168" fontId="168" fillId="62" borderId="0" xfId="21992" applyNumberFormat="1" applyFont="1" applyFill="1" applyBorder="1"/>
    <xf numFmtId="0" fontId="119" fillId="0" borderId="0" xfId="21880" applyFill="1"/>
    <xf numFmtId="0" fontId="135" fillId="0" borderId="0" xfId="21880" applyFont="1" applyFill="1"/>
    <xf numFmtId="0" fontId="135" fillId="0" borderId="53" xfId="21880" applyFont="1" applyFill="1" applyBorder="1" applyAlignment="1">
      <alignment horizontal="left"/>
    </xf>
    <xf numFmtId="0" fontId="119" fillId="0" borderId="0" xfId="21880" quotePrefix="1" applyFill="1"/>
    <xf numFmtId="0" fontId="119" fillId="0" borderId="9" xfId="21880" applyFill="1" applyBorder="1"/>
    <xf numFmtId="0" fontId="135" fillId="0" borderId="53" xfId="21880" applyFont="1" applyFill="1" applyBorder="1"/>
    <xf numFmtId="0" fontId="135" fillId="0" borderId="56" xfId="21880" applyFont="1" applyFill="1" applyBorder="1"/>
    <xf numFmtId="0" fontId="119" fillId="0" borderId="41" xfId="21880" applyFill="1" applyBorder="1"/>
    <xf numFmtId="187" fontId="119" fillId="0" borderId="0" xfId="21880" applyNumberFormat="1" applyFill="1"/>
    <xf numFmtId="183" fontId="119" fillId="0" borderId="0" xfId="21880" applyNumberFormat="1" applyFill="1"/>
    <xf numFmtId="0" fontId="169" fillId="28" borderId="0" xfId="0" applyFont="1" applyFill="1" applyBorder="1" applyAlignment="1">
      <alignment horizontal="center" wrapText="1"/>
    </xf>
    <xf numFmtId="0" fontId="169" fillId="68" borderId="0" xfId="0" applyFont="1" applyFill="1" applyBorder="1" applyAlignment="1">
      <alignment horizontal="center" wrapText="1"/>
    </xf>
    <xf numFmtId="0" fontId="169" fillId="78" borderId="0" xfId="0" applyFont="1" applyFill="1" applyBorder="1" applyAlignment="1">
      <alignment horizontal="center" wrapText="1"/>
    </xf>
    <xf numFmtId="0" fontId="169" fillId="66" borderId="0" xfId="0" applyFont="1" applyFill="1" applyBorder="1" applyAlignment="1">
      <alignment horizontal="center" wrapText="1"/>
    </xf>
    <xf numFmtId="0" fontId="169" fillId="69" borderId="0" xfId="0" applyFont="1" applyFill="1" applyBorder="1" applyAlignment="1">
      <alignment horizontal="center" wrapText="1"/>
    </xf>
    <xf numFmtId="0" fontId="169" fillId="27" borderId="0" xfId="0" applyFont="1" applyFill="1" applyBorder="1" applyAlignment="1">
      <alignment horizontal="center" wrapText="1"/>
    </xf>
    <xf numFmtId="0" fontId="169" fillId="0" borderId="0" xfId="0" applyFont="1" applyFill="1" applyAlignment="1">
      <alignment horizontal="center"/>
    </xf>
    <xf numFmtId="0" fontId="169" fillId="64" borderId="0" xfId="0" applyFont="1" applyFill="1" applyBorder="1" applyAlignment="1">
      <alignment horizontal="center"/>
    </xf>
    <xf numFmtId="0" fontId="169" fillId="65" borderId="0" xfId="0" applyFont="1" applyFill="1" applyBorder="1" applyAlignment="1">
      <alignment horizontal="center" wrapText="1"/>
    </xf>
    <xf numFmtId="0" fontId="169" fillId="80" borderId="0" xfId="0" applyFont="1" applyFill="1" applyBorder="1" applyAlignment="1">
      <alignment horizontal="center" wrapText="1"/>
    </xf>
    <xf numFmtId="0" fontId="169" fillId="25" borderId="0" xfId="0" applyFont="1" applyFill="1" applyBorder="1" applyAlignment="1">
      <alignment horizontal="center" wrapText="1"/>
    </xf>
    <xf numFmtId="0" fontId="169" fillId="84" borderId="25" xfId="0" applyFont="1" applyFill="1" applyBorder="1" applyAlignment="1">
      <alignment horizontal="center" wrapText="1"/>
    </xf>
    <xf numFmtId="0" fontId="169" fillId="67" borderId="0" xfId="0" applyFont="1" applyFill="1" applyBorder="1" applyAlignment="1">
      <alignment horizontal="center" wrapText="1"/>
    </xf>
    <xf numFmtId="3" fontId="168" fillId="0" borderId="0" xfId="0" applyNumberFormat="1" applyFont="1" applyBorder="1"/>
    <xf numFmtId="37" fontId="169" fillId="67" borderId="0" xfId="0" applyNumberFormat="1" applyFont="1" applyFill="1" applyBorder="1" applyAlignment="1">
      <alignment horizontal="center" wrapText="1"/>
    </xf>
    <xf numFmtId="9" fontId="0" fillId="0" borderId="0" xfId="21992" applyFont="1"/>
    <xf numFmtId="168" fontId="0" fillId="0" borderId="0" xfId="21992" applyNumberFormat="1" applyFont="1"/>
    <xf numFmtId="10" fontId="178" fillId="0" borderId="0" xfId="21992" applyNumberFormat="1" applyFont="1" applyAlignment="1">
      <alignment wrapText="1"/>
    </xf>
    <xf numFmtId="10" fontId="168" fillId="0" borderId="0" xfId="21992" applyNumberFormat="1" applyFont="1"/>
    <xf numFmtId="0" fontId="169" fillId="25" borderId="0" xfId="0" applyFont="1" applyFill="1" applyBorder="1" applyAlignment="1">
      <alignment horizontal="center" wrapText="1"/>
    </xf>
    <xf numFmtId="0" fontId="169" fillId="27" borderId="0" xfId="0" applyFont="1" applyFill="1" applyBorder="1" applyAlignment="1">
      <alignment horizontal="center" wrapText="1"/>
    </xf>
    <xf numFmtId="0" fontId="169" fillId="84" borderId="25" xfId="0" applyFont="1" applyFill="1" applyBorder="1" applyAlignment="1">
      <alignment horizontal="center" wrapText="1"/>
    </xf>
    <xf numFmtId="0" fontId="169" fillId="67" borderId="0" xfId="0" applyFont="1" applyFill="1" applyBorder="1" applyAlignment="1">
      <alignment horizontal="center" wrapText="1"/>
    </xf>
    <xf numFmtId="0" fontId="169" fillId="65" borderId="0" xfId="0" applyFont="1" applyFill="1" applyBorder="1" applyAlignment="1">
      <alignment horizontal="center" wrapText="1"/>
    </xf>
    <xf numFmtId="0" fontId="169" fillId="0" borderId="0" xfId="0" applyFont="1" applyFill="1" applyAlignment="1">
      <alignment horizontal="center"/>
    </xf>
    <xf numFmtId="0" fontId="169" fillId="64" borderId="0" xfId="0" applyFont="1" applyFill="1" applyBorder="1" applyAlignment="1">
      <alignment horizontal="center"/>
    </xf>
    <xf numFmtId="0" fontId="169" fillId="80" borderId="0" xfId="0" applyFont="1" applyFill="1" applyBorder="1" applyAlignment="1">
      <alignment horizontal="center" wrapText="1"/>
    </xf>
    <xf numFmtId="0" fontId="169" fillId="28" borderId="0" xfId="0" applyFont="1" applyFill="1" applyBorder="1" applyAlignment="1">
      <alignment horizontal="center" wrapText="1"/>
    </xf>
    <xf numFmtId="0" fontId="169" fillId="68" borderId="0" xfId="0" applyFont="1" applyFill="1" applyBorder="1" applyAlignment="1">
      <alignment horizontal="center" wrapText="1"/>
    </xf>
    <xf numFmtId="0" fontId="169" fillId="78" borderId="0" xfId="0" applyFont="1" applyFill="1" applyBorder="1" applyAlignment="1">
      <alignment horizontal="center" wrapText="1"/>
    </xf>
    <xf numFmtId="0" fontId="169" fillId="66" borderId="0" xfId="0" applyFont="1" applyFill="1" applyBorder="1" applyAlignment="1">
      <alignment horizontal="center" wrapText="1"/>
    </xf>
    <xf numFmtId="0" fontId="169" fillId="69" borderId="0" xfId="0" applyFont="1" applyFill="1" applyBorder="1" applyAlignment="1">
      <alignment horizontal="center" wrapText="1"/>
    </xf>
    <xf numFmtId="0" fontId="169" fillId="27" borderId="0" xfId="0" applyFont="1" applyFill="1" applyBorder="1" applyAlignment="1">
      <alignment horizontal="center" wrapText="1"/>
    </xf>
    <xf numFmtId="0" fontId="169" fillId="64" borderId="0" xfId="0" applyFont="1" applyFill="1" applyBorder="1" applyAlignment="1">
      <alignment horizontal="center"/>
    </xf>
    <xf numFmtId="0" fontId="7" fillId="0" borderId="0" xfId="27903"/>
    <xf numFmtId="43" fontId="119" fillId="73" borderId="0" xfId="21880" applyNumberFormat="1" applyFill="1"/>
    <xf numFmtId="0" fontId="0" fillId="99" borderId="0" xfId="0" applyFill="1"/>
    <xf numFmtId="0" fontId="81" fillId="0" borderId="0" xfId="0" applyFont="1" applyAlignment="1">
      <alignment horizontal="center"/>
    </xf>
    <xf numFmtId="1" fontId="85" fillId="75" borderId="50" xfId="2920" applyNumberFormat="1" applyFont="1" applyFill="1" applyBorder="1" applyAlignment="1">
      <alignment horizontal="center" vertical="center"/>
    </xf>
    <xf numFmtId="0" fontId="85" fillId="75" borderId="50" xfId="2432" applyFont="1" applyFill="1" applyBorder="1" applyAlignment="1">
      <alignment horizontal="center" vertical="center"/>
    </xf>
    <xf numFmtId="0" fontId="81" fillId="75" borderId="49" xfId="0" applyFont="1" applyFill="1" applyBorder="1"/>
    <xf numFmtId="0" fontId="33" fillId="75" borderId="51" xfId="0" applyFont="1" applyFill="1" applyBorder="1"/>
    <xf numFmtId="0" fontId="81" fillId="75" borderId="51" xfId="0" applyFont="1" applyFill="1" applyBorder="1"/>
    <xf numFmtId="0" fontId="182" fillId="0" borderId="0" xfId="2920" applyFont="1" applyAlignment="1">
      <alignment vertical="center"/>
    </xf>
    <xf numFmtId="0" fontId="33" fillId="71" borderId="18" xfId="2920" applyFont="1" applyFill="1" applyBorder="1" applyAlignment="1">
      <alignment vertical="center"/>
    </xf>
    <xf numFmtId="0" fontId="33" fillId="71" borderId="18" xfId="2920" applyFont="1" applyFill="1" applyBorder="1" applyAlignment="1">
      <alignment horizontal="center" vertical="center"/>
    </xf>
    <xf numFmtId="175" fontId="33" fillId="71" borderId="18" xfId="3601" applyNumberFormat="1" applyFont="1" applyFill="1" applyBorder="1" applyAlignment="1">
      <alignment vertical="center"/>
    </xf>
    <xf numFmtId="0" fontId="33" fillId="100" borderId="0" xfId="2920" applyFont="1" applyFill="1"/>
    <xf numFmtId="0" fontId="33" fillId="78" borderId="0" xfId="2920" applyFont="1" applyFill="1" applyAlignment="1">
      <alignment vertical="center"/>
    </xf>
    <xf numFmtId="0" fontId="33" fillId="78" borderId="18" xfId="2920" applyFont="1" applyFill="1" applyBorder="1" applyAlignment="1">
      <alignment vertical="center"/>
    </xf>
    <xf numFmtId="0" fontId="33" fillId="64" borderId="0" xfId="2920" applyFont="1" applyFill="1"/>
    <xf numFmtId="0" fontId="33" fillId="64" borderId="18" xfId="2920" applyFont="1" applyFill="1" applyBorder="1"/>
    <xf numFmtId="0" fontId="33" fillId="71" borderId="18" xfId="2920" quotePrefix="1" applyFont="1" applyFill="1" applyBorder="1" applyAlignment="1">
      <alignment horizontal="center" vertical="center"/>
    </xf>
    <xf numFmtId="176" fontId="33" fillId="87" borderId="18" xfId="0" applyNumberFormat="1" applyFont="1" applyFill="1" applyBorder="1"/>
    <xf numFmtId="175" fontId="85" fillId="76" borderId="0" xfId="24434" applyNumberFormat="1" applyFont="1" applyFill="1" applyBorder="1" applyAlignment="1">
      <alignment horizontal="center" vertical="center"/>
    </xf>
    <xf numFmtId="175" fontId="85" fillId="77" borderId="0" xfId="24434" applyNumberFormat="1" applyFont="1" applyFill="1" applyBorder="1" applyAlignment="1">
      <alignment horizontal="center" vertical="center"/>
    </xf>
    <xf numFmtId="5" fontId="81" fillId="0" borderId="50" xfId="2590" applyNumberFormat="1" applyFont="1" applyFill="1" applyBorder="1" applyAlignment="1">
      <alignment vertical="center"/>
    </xf>
    <xf numFmtId="6" fontId="33" fillId="100" borderId="0" xfId="3522" applyNumberFormat="1" applyFont="1" applyFill="1" applyAlignment="1">
      <alignment vertical="center"/>
    </xf>
    <xf numFmtId="2" fontId="33" fillId="0" borderId="0" xfId="0" applyNumberFormat="1" applyFont="1"/>
    <xf numFmtId="37" fontId="33" fillId="0" borderId="0" xfId="0" applyNumberFormat="1" applyFont="1"/>
    <xf numFmtId="189" fontId="33" fillId="0" borderId="0" xfId="21992" applyNumberFormat="1" applyFont="1"/>
    <xf numFmtId="0" fontId="85" fillId="75" borderId="50" xfId="2432" applyFont="1" applyFill="1" applyBorder="1" applyAlignment="1">
      <alignment horizontal="center" vertical="center"/>
    </xf>
    <xf numFmtId="0" fontId="81" fillId="0" borderId="0" xfId="0" applyFont="1" applyAlignment="1">
      <alignment horizontal="center"/>
    </xf>
    <xf numFmtId="0" fontId="169" fillId="25" borderId="0" xfId="0" applyFont="1" applyFill="1" applyBorder="1" applyAlignment="1">
      <alignment horizontal="center" wrapText="1"/>
    </xf>
    <xf numFmtId="0" fontId="169" fillId="27" borderId="0" xfId="0" applyFont="1" applyFill="1" applyBorder="1" applyAlignment="1">
      <alignment horizontal="center" wrapText="1"/>
    </xf>
    <xf numFmtId="0" fontId="169" fillId="84" borderId="25" xfId="0" applyFont="1" applyFill="1" applyBorder="1" applyAlignment="1">
      <alignment horizontal="center" wrapText="1"/>
    </xf>
    <xf numFmtId="0" fontId="169" fillId="67" borderId="0" xfId="0" applyFont="1" applyFill="1" applyBorder="1" applyAlignment="1">
      <alignment horizontal="center" wrapText="1"/>
    </xf>
    <xf numFmtId="0" fontId="169" fillId="65" borderId="0" xfId="0" applyFont="1" applyFill="1" applyBorder="1" applyAlignment="1">
      <alignment horizontal="center" wrapText="1"/>
    </xf>
    <xf numFmtId="0" fontId="169" fillId="0" borderId="0" xfId="0" applyFont="1" applyFill="1" applyAlignment="1">
      <alignment horizontal="center"/>
    </xf>
    <xf numFmtId="0" fontId="169" fillId="64" borderId="0" xfId="0" applyFont="1" applyFill="1" applyBorder="1" applyAlignment="1">
      <alignment horizontal="center"/>
    </xf>
    <xf numFmtId="0" fontId="169" fillId="80" borderId="0" xfId="0" applyFont="1" applyFill="1" applyBorder="1" applyAlignment="1">
      <alignment horizontal="center" wrapText="1"/>
    </xf>
    <xf numFmtId="0" fontId="169" fillId="28" borderId="0" xfId="0" applyFont="1" applyFill="1" applyBorder="1" applyAlignment="1">
      <alignment horizontal="center" wrapText="1"/>
    </xf>
    <xf numFmtId="0" fontId="169" fillId="68" borderId="0" xfId="0" applyFont="1" applyFill="1" applyBorder="1" applyAlignment="1">
      <alignment horizontal="center" wrapText="1"/>
    </xf>
    <xf numFmtId="0" fontId="169" fillId="78" borderId="0" xfId="0" applyFont="1" applyFill="1" applyBorder="1" applyAlignment="1">
      <alignment horizontal="center" wrapText="1"/>
    </xf>
    <xf numFmtId="0" fontId="169" fillId="66" borderId="0" xfId="0" applyFont="1" applyFill="1" applyBorder="1" applyAlignment="1">
      <alignment horizontal="center" wrapText="1"/>
    </xf>
    <xf numFmtId="0" fontId="169" fillId="69" borderId="0" xfId="0" applyFont="1" applyFill="1" applyBorder="1" applyAlignment="1">
      <alignment horizontal="center" wrapText="1"/>
    </xf>
    <xf numFmtId="0" fontId="183" fillId="0" borderId="0" xfId="0" applyFont="1"/>
    <xf numFmtId="3" fontId="115" fillId="0" borderId="0" xfId="21881" applyNumberFormat="1" applyFont="1" applyFill="1" applyProtection="1">
      <protection hidden="1"/>
    </xf>
    <xf numFmtId="168" fontId="119" fillId="89" borderId="0" xfId="21992" applyNumberFormat="1" applyFont="1" applyFill="1"/>
    <xf numFmtId="0" fontId="119" fillId="89" borderId="0" xfId="21880" applyNumberFormat="1" applyFill="1"/>
    <xf numFmtId="0" fontId="6" fillId="0" borderId="0" xfId="27904"/>
    <xf numFmtId="0" fontId="5" fillId="0" borderId="0" xfId="27905"/>
    <xf numFmtId="0" fontId="4" fillId="0" borderId="0" xfId="27906"/>
    <xf numFmtId="0" fontId="3" fillId="0" borderId="0" xfId="27907"/>
    <xf numFmtId="0" fontId="2" fillId="0" borderId="0" xfId="27908"/>
    <xf numFmtId="0" fontId="169" fillId="28" borderId="0" xfId="0" applyFont="1" applyFill="1" applyBorder="1" applyAlignment="1">
      <alignment horizontal="center" wrapText="1"/>
    </xf>
    <xf numFmtId="0" fontId="169" fillId="68" borderId="0" xfId="0" applyFont="1" applyFill="1" applyBorder="1" applyAlignment="1">
      <alignment horizontal="center" wrapText="1"/>
    </xf>
    <xf numFmtId="0" fontId="169" fillId="78" borderId="0" xfId="0" applyFont="1" applyFill="1" applyBorder="1" applyAlignment="1">
      <alignment horizontal="center" wrapText="1"/>
    </xf>
    <xf numFmtId="0" fontId="169" fillId="27" borderId="0" xfId="0" applyFont="1" applyFill="1" applyBorder="1" applyAlignment="1">
      <alignment horizontal="center" wrapText="1"/>
    </xf>
    <xf numFmtId="0" fontId="169" fillId="64" borderId="0" xfId="0" applyFont="1" applyFill="1" applyBorder="1" applyAlignment="1">
      <alignment horizontal="center"/>
    </xf>
    <xf numFmtId="0" fontId="169" fillId="65" borderId="0" xfId="0" applyFont="1" applyFill="1" applyBorder="1" applyAlignment="1">
      <alignment horizontal="center" wrapText="1"/>
    </xf>
    <xf numFmtId="0" fontId="169" fillId="25" borderId="0" xfId="0" applyFont="1" applyFill="1" applyBorder="1" applyAlignment="1">
      <alignment horizontal="center" wrapText="1"/>
    </xf>
    <xf numFmtId="0" fontId="169" fillId="0" borderId="0" xfId="0" applyFont="1" applyFill="1" applyAlignment="1">
      <alignment horizontal="center"/>
    </xf>
    <xf numFmtId="0" fontId="169" fillId="64" borderId="0" xfId="0" applyFont="1" applyFill="1" applyBorder="1" applyAlignment="1">
      <alignment horizontal="center"/>
    </xf>
    <xf numFmtId="0" fontId="168" fillId="0" borderId="0" xfId="0" applyFont="1" applyFill="1" applyAlignment="1">
      <alignment horizontal="center"/>
    </xf>
    <xf numFmtId="0" fontId="167" fillId="62" borderId="40" xfId="0" applyFont="1" applyFill="1" applyBorder="1" applyAlignment="1"/>
    <xf numFmtId="0" fontId="168" fillId="62" borderId="41" xfId="0" applyFont="1" applyFill="1" applyBorder="1" applyAlignment="1"/>
    <xf numFmtId="0" fontId="168" fillId="62" borderId="0" xfId="0" applyFont="1" applyFill="1" applyBorder="1" applyAlignment="1"/>
    <xf numFmtId="0" fontId="167" fillId="62" borderId="45" xfId="0" applyFont="1" applyFill="1" applyBorder="1" applyAlignment="1"/>
    <xf numFmtId="0" fontId="168" fillId="62" borderId="45" xfId="0" applyFont="1" applyFill="1" applyBorder="1" applyAlignment="1"/>
    <xf numFmtId="5" fontId="168" fillId="62" borderId="0" xfId="0" applyNumberFormat="1" applyFont="1" applyFill="1" applyBorder="1" applyAlignment="1"/>
    <xf numFmtId="164" fontId="168" fillId="62" borderId="0" xfId="0" applyNumberFormat="1" applyFont="1" applyFill="1" applyBorder="1" applyAlignment="1"/>
    <xf numFmtId="5" fontId="171" fillId="62" borderId="0" xfId="0" applyNumberFormat="1" applyFont="1" applyFill="1" applyBorder="1" applyAlignment="1"/>
    <xf numFmtId="5" fontId="171" fillId="62" borderId="9" xfId="0" applyNumberFormat="1" applyFont="1" applyFill="1" applyBorder="1" applyAlignment="1"/>
    <xf numFmtId="0" fontId="168" fillId="0" borderId="0" xfId="0" applyFont="1" applyFill="1" applyAlignment="1"/>
    <xf numFmtId="5" fontId="171" fillId="0" borderId="0" xfId="0" applyNumberFormat="1" applyFont="1" applyFill="1" applyAlignment="1"/>
    <xf numFmtId="0" fontId="168" fillId="63" borderId="40" xfId="0" applyFont="1" applyFill="1" applyBorder="1" applyAlignment="1"/>
    <xf numFmtId="5" fontId="171" fillId="63" borderId="41" xfId="0" applyNumberFormat="1" applyFont="1" applyFill="1" applyBorder="1" applyAlignment="1"/>
    <xf numFmtId="5" fontId="171" fillId="64" borderId="0" xfId="0" applyNumberFormat="1" applyFont="1" applyFill="1" applyBorder="1" applyAlignment="1"/>
    <xf numFmtId="0" fontId="167" fillId="64" borderId="45" xfId="0" applyFont="1" applyFill="1" applyBorder="1" applyAlignment="1"/>
    <xf numFmtId="0" fontId="168" fillId="64" borderId="0" xfId="0" applyFont="1" applyFill="1" applyBorder="1" applyAlignment="1"/>
    <xf numFmtId="0" fontId="168" fillId="64" borderId="45" xfId="0" applyFont="1" applyFill="1" applyBorder="1" applyAlignment="1"/>
    <xf numFmtId="0" fontId="168" fillId="64" borderId="9" xfId="0" applyFont="1" applyFill="1" applyBorder="1" applyAlignment="1"/>
    <xf numFmtId="0" fontId="168" fillId="0" borderId="45" xfId="0" applyFont="1" applyFill="1" applyBorder="1" applyAlignment="1"/>
    <xf numFmtId="0" fontId="169" fillId="65" borderId="0" xfId="0" applyFont="1" applyFill="1" applyBorder="1" applyAlignment="1">
      <alignment horizontal="center"/>
    </xf>
    <xf numFmtId="0" fontId="167" fillId="65" borderId="45" xfId="0" applyFont="1" applyFill="1" applyBorder="1" applyAlignment="1"/>
    <xf numFmtId="0" fontId="168" fillId="65" borderId="0" xfId="0" applyFont="1" applyFill="1" applyBorder="1" applyAlignment="1"/>
    <xf numFmtId="0" fontId="168" fillId="65" borderId="45" xfId="0" applyFont="1" applyFill="1" applyBorder="1" applyAlignment="1"/>
    <xf numFmtId="5" fontId="168" fillId="65" borderId="0" xfId="0" applyNumberFormat="1" applyFont="1" applyFill="1" applyBorder="1" applyAlignment="1"/>
    <xf numFmtId="5" fontId="171" fillId="65" borderId="0" xfId="0" applyNumberFormat="1" applyFont="1" applyFill="1" applyBorder="1" applyAlignment="1"/>
    <xf numFmtId="0" fontId="168" fillId="65" borderId="43" xfId="0" applyFont="1" applyFill="1" applyBorder="1" applyAlignment="1"/>
    <xf numFmtId="0" fontId="168" fillId="65" borderId="9" xfId="0" applyFont="1" applyFill="1" applyBorder="1" applyAlignment="1"/>
    <xf numFmtId="0" fontId="168" fillId="0" borderId="41" xfId="0" applyFont="1" applyFill="1" applyBorder="1" applyAlignment="1"/>
    <xf numFmtId="0" fontId="169" fillId="80" borderId="0" xfId="0" applyFont="1" applyFill="1" applyBorder="1" applyAlignment="1">
      <alignment horizontal="center"/>
    </xf>
    <xf numFmtId="0" fontId="167" fillId="80" borderId="45" xfId="0" applyFont="1" applyFill="1" applyBorder="1" applyAlignment="1"/>
    <xf numFmtId="0" fontId="168" fillId="80" borderId="0" xfId="0" applyFont="1" applyFill="1" applyBorder="1" applyAlignment="1"/>
    <xf numFmtId="5" fontId="168" fillId="80" borderId="0" xfId="0" applyNumberFormat="1" applyFont="1" applyFill="1" applyBorder="1" applyAlignment="1"/>
    <xf numFmtId="0" fontId="168" fillId="80" borderId="0" xfId="0" applyFont="1" applyFill="1" applyAlignment="1"/>
    <xf numFmtId="3" fontId="170" fillId="80" borderId="0" xfId="0" applyNumberFormat="1" applyFont="1" applyFill="1" applyBorder="1" applyAlignment="1"/>
    <xf numFmtId="0" fontId="167" fillId="80" borderId="0" xfId="0" applyFont="1" applyFill="1" applyAlignment="1"/>
    <xf numFmtId="5" fontId="171" fillId="80" borderId="0" xfId="0" applyNumberFormat="1" applyFont="1" applyFill="1" applyBorder="1" applyAlignment="1"/>
    <xf numFmtId="0" fontId="167" fillId="0" borderId="45" xfId="0" applyFont="1" applyFill="1" applyBorder="1" applyAlignment="1"/>
    <xf numFmtId="0" fontId="168" fillId="0" borderId="0" xfId="0" applyFont="1" applyFill="1" applyBorder="1" applyAlignment="1"/>
    <xf numFmtId="0" fontId="169" fillId="25" borderId="0" xfId="0" applyFont="1" applyFill="1" applyBorder="1" applyAlignment="1">
      <alignment horizontal="center"/>
    </xf>
    <xf numFmtId="0" fontId="168" fillId="25" borderId="45" xfId="0" applyFont="1" applyFill="1" applyBorder="1" applyAlignment="1"/>
    <xf numFmtId="0" fontId="168" fillId="25" borderId="0" xfId="0" applyFont="1" applyFill="1" applyBorder="1" applyAlignment="1"/>
    <xf numFmtId="5" fontId="168" fillId="25" borderId="0" xfId="0" applyNumberFormat="1" applyFont="1" applyFill="1" applyBorder="1" applyAlignment="1"/>
    <xf numFmtId="37" fontId="168" fillId="25" borderId="0" xfId="0" applyNumberFormat="1" applyFont="1" applyFill="1" applyBorder="1" applyAlignment="1"/>
    <xf numFmtId="5" fontId="171" fillId="25" borderId="0" xfId="0" applyNumberFormat="1" applyFont="1" applyFill="1" applyBorder="1" applyAlignment="1"/>
    <xf numFmtId="37" fontId="172" fillId="25" borderId="0" xfId="0" applyNumberFormat="1" applyFont="1" applyFill="1" applyBorder="1" applyAlignment="1"/>
    <xf numFmtId="0" fontId="168" fillId="0" borderId="40" xfId="0" applyFont="1" applyFill="1" applyBorder="1" applyAlignment="1"/>
    <xf numFmtId="0" fontId="169" fillId="78" borderId="0" xfId="0" applyFont="1" applyFill="1" applyBorder="1" applyAlignment="1">
      <alignment horizontal="center"/>
    </xf>
    <xf numFmtId="0" fontId="167" fillId="78" borderId="45" xfId="0" applyFont="1" applyFill="1" applyBorder="1" applyAlignment="1"/>
    <xf numFmtId="0" fontId="167" fillId="78" borderId="0" xfId="0" applyFont="1" applyFill="1" applyBorder="1" applyAlignment="1"/>
    <xf numFmtId="0" fontId="168" fillId="78" borderId="0" xfId="0" applyFont="1" applyFill="1" applyBorder="1" applyAlignment="1"/>
    <xf numFmtId="0" fontId="168" fillId="78" borderId="45" xfId="0" applyFont="1" applyFill="1" applyBorder="1" applyAlignment="1"/>
    <xf numFmtId="5" fontId="168" fillId="78" borderId="0" xfId="0" applyNumberFormat="1" applyFont="1" applyFill="1" applyBorder="1" applyAlignment="1"/>
    <xf numFmtId="5" fontId="171" fillId="78" borderId="0" xfId="0" applyNumberFormat="1" applyFont="1" applyFill="1" applyBorder="1" applyAlignment="1"/>
    <xf numFmtId="165" fontId="168" fillId="78" borderId="0" xfId="0" applyNumberFormat="1" applyFont="1" applyFill="1" applyBorder="1" applyAlignment="1"/>
    <xf numFmtId="5" fontId="170" fillId="78" borderId="0" xfId="0" applyNumberFormat="1" applyFont="1" applyFill="1" applyBorder="1" applyAlignment="1"/>
    <xf numFmtId="0" fontId="169" fillId="66" borderId="0" xfId="0" applyFont="1" applyFill="1" applyBorder="1" applyAlignment="1">
      <alignment horizontal="center"/>
    </xf>
    <xf numFmtId="0" fontId="167" fillId="66" borderId="45" xfId="0" applyFont="1" applyFill="1" applyBorder="1" applyAlignment="1"/>
    <xf numFmtId="0" fontId="168" fillId="66" borderId="0" xfId="0" applyFont="1" applyFill="1" applyBorder="1" applyAlignment="1"/>
    <xf numFmtId="0" fontId="168" fillId="66" borderId="45" xfId="0" applyFont="1" applyFill="1" applyBorder="1" applyAlignment="1"/>
    <xf numFmtId="5" fontId="168" fillId="66" borderId="0" xfId="0" applyNumberFormat="1" applyFont="1" applyFill="1" applyBorder="1" applyAlignment="1"/>
    <xf numFmtId="37" fontId="170" fillId="66" borderId="0" xfId="0" applyNumberFormat="1" applyFont="1" applyFill="1" applyBorder="1" applyAlignment="1"/>
    <xf numFmtId="37" fontId="170" fillId="66" borderId="9" xfId="0" applyNumberFormat="1" applyFont="1" applyFill="1" applyBorder="1" applyAlignment="1"/>
    <xf numFmtId="5" fontId="168" fillId="0" borderId="0" xfId="0" applyNumberFormat="1" applyFont="1" applyFill="1" applyAlignment="1"/>
    <xf numFmtId="0" fontId="168" fillId="0" borderId="0" xfId="0" applyFont="1" applyAlignment="1"/>
    <xf numFmtId="0" fontId="169" fillId="27" borderId="0" xfId="0" applyFont="1" applyFill="1" applyBorder="1" applyAlignment="1">
      <alignment horizontal="center"/>
    </xf>
    <xf numFmtId="0" fontId="167" fillId="27" borderId="45" xfId="0" applyFont="1" applyFill="1" applyBorder="1" applyAlignment="1"/>
    <xf numFmtId="0" fontId="168" fillId="27" borderId="0" xfId="0" applyFont="1" applyFill="1" applyBorder="1" applyAlignment="1"/>
    <xf numFmtId="0" fontId="168" fillId="27" borderId="45" xfId="0" applyFont="1" applyFill="1" applyBorder="1" applyAlignment="1"/>
    <xf numFmtId="5" fontId="168" fillId="27" borderId="0" xfId="0" applyNumberFormat="1" applyFont="1" applyFill="1" applyBorder="1" applyAlignment="1"/>
    <xf numFmtId="165" fontId="168" fillId="27" borderId="0" xfId="0" applyNumberFormat="1" applyFont="1" applyFill="1" applyBorder="1" applyAlignment="1"/>
    <xf numFmtId="165" fontId="170" fillId="27" borderId="0" xfId="0" applyNumberFormat="1" applyFont="1" applyFill="1" applyBorder="1" applyAlignment="1"/>
    <xf numFmtId="5" fontId="171" fillId="27" borderId="0" xfId="0" applyNumberFormat="1" applyFont="1" applyFill="1" applyBorder="1" applyAlignment="1"/>
    <xf numFmtId="5" fontId="171" fillId="27" borderId="9" xfId="0" applyNumberFormat="1" applyFont="1" applyFill="1" applyBorder="1" applyAlignment="1"/>
    <xf numFmtId="5" fontId="171" fillId="0" borderId="0" xfId="0" applyNumberFormat="1" applyFont="1" applyFill="1" applyBorder="1" applyAlignment="1"/>
    <xf numFmtId="0" fontId="169" fillId="84" borderId="25" xfId="0" applyFont="1" applyFill="1" applyBorder="1" applyAlignment="1">
      <alignment horizontal="center"/>
    </xf>
    <xf numFmtId="165" fontId="168" fillId="62" borderId="0" xfId="0" applyNumberFormat="1" applyFont="1" applyFill="1" applyBorder="1" applyAlignment="1"/>
    <xf numFmtId="165" fontId="170" fillId="62" borderId="0" xfId="0" applyNumberFormat="1" applyFont="1" applyFill="1" applyBorder="1" applyAlignment="1"/>
    <xf numFmtId="165" fontId="172" fillId="62" borderId="0" xfId="0" applyNumberFormat="1" applyFont="1" applyFill="1" applyBorder="1" applyAlignment="1"/>
    <xf numFmtId="0" fontId="169" fillId="67" borderId="0" xfId="0" applyFont="1" applyFill="1" applyBorder="1" applyAlignment="1">
      <alignment horizontal="center"/>
    </xf>
    <xf numFmtId="0" fontId="168" fillId="67" borderId="45" xfId="0" applyFont="1" applyFill="1" applyBorder="1" applyAlignment="1"/>
    <xf numFmtId="37" fontId="168" fillId="67" borderId="0" xfId="0" applyNumberFormat="1" applyFont="1" applyFill="1" applyBorder="1" applyAlignment="1"/>
    <xf numFmtId="0" fontId="168" fillId="67" borderId="0" xfId="0" applyFont="1" applyFill="1" applyBorder="1" applyAlignment="1"/>
    <xf numFmtId="5" fontId="168" fillId="85" borderId="0" xfId="0" applyNumberFormat="1" applyFont="1" applyFill="1" applyBorder="1" applyAlignment="1"/>
    <xf numFmtId="37" fontId="170" fillId="67" borderId="0" xfId="0" applyNumberFormat="1" applyFont="1" applyFill="1" applyBorder="1" applyAlignment="1"/>
    <xf numFmtId="166" fontId="170" fillId="65" borderId="0" xfId="0" applyNumberFormat="1" applyFont="1" applyFill="1" applyBorder="1" applyAlignment="1"/>
    <xf numFmtId="0" fontId="168" fillId="68" borderId="45" xfId="0" applyFont="1" applyFill="1" applyBorder="1" applyAlignment="1"/>
    <xf numFmtId="0" fontId="168" fillId="68" borderId="0" xfId="0" applyFont="1" applyFill="1" applyBorder="1" applyAlignment="1"/>
    <xf numFmtId="5" fontId="168" fillId="68" borderId="0" xfId="0" applyNumberFormat="1" applyFont="1" applyFill="1" applyBorder="1" applyAlignment="1"/>
    <xf numFmtId="165" fontId="172" fillId="68" borderId="0" xfId="0" applyNumberFormat="1" applyFont="1" applyFill="1" applyBorder="1" applyAlignment="1"/>
    <xf numFmtId="0" fontId="169" fillId="28" borderId="0" xfId="0" applyFont="1" applyFill="1" applyBorder="1" applyAlignment="1">
      <alignment horizontal="center"/>
    </xf>
    <xf numFmtId="0" fontId="167" fillId="28" borderId="45" xfId="0" applyFont="1" applyFill="1" applyBorder="1" applyAlignment="1"/>
    <xf numFmtId="0" fontId="168" fillId="28" borderId="0" xfId="0" applyFont="1" applyFill="1" applyBorder="1" applyAlignment="1"/>
    <xf numFmtId="0" fontId="168" fillId="28" borderId="45" xfId="0" applyFont="1" applyFill="1" applyBorder="1" applyAlignment="1"/>
    <xf numFmtId="5" fontId="168" fillId="28" borderId="0" xfId="0" applyNumberFormat="1" applyFont="1" applyFill="1" applyBorder="1" applyAlignment="1"/>
    <xf numFmtId="165" fontId="172" fillId="28" borderId="0" xfId="0" applyNumberFormat="1" applyFont="1" applyFill="1" applyBorder="1" applyAlignment="1"/>
    <xf numFmtId="5" fontId="171" fillId="81" borderId="0" xfId="0" applyNumberFormat="1" applyFont="1" applyFill="1" applyBorder="1" applyAlignment="1"/>
    <xf numFmtId="0" fontId="168" fillId="28" borderId="43" xfId="0" applyFont="1" applyFill="1" applyBorder="1" applyAlignment="1"/>
    <xf numFmtId="5" fontId="168" fillId="28" borderId="9" xfId="0" applyNumberFormat="1" applyFont="1" applyFill="1" applyBorder="1" applyAlignment="1"/>
    <xf numFmtId="5" fontId="168" fillId="0" borderId="0" xfId="0" applyNumberFormat="1" applyFont="1" applyFill="1" applyBorder="1" applyAlignment="1"/>
    <xf numFmtId="0" fontId="169" fillId="69" borderId="0" xfId="0" applyFont="1" applyFill="1" applyBorder="1" applyAlignment="1">
      <alignment horizontal="center"/>
    </xf>
    <xf numFmtId="0" fontId="168" fillId="69" borderId="45" xfId="0" applyFont="1" applyFill="1" applyBorder="1" applyAlignment="1"/>
    <xf numFmtId="0" fontId="168" fillId="69" borderId="0" xfId="0" applyFont="1" applyFill="1" applyBorder="1" applyAlignment="1"/>
    <xf numFmtId="5" fontId="168" fillId="69" borderId="45" xfId="0" applyNumberFormat="1" applyFont="1" applyFill="1" applyBorder="1" applyAlignment="1"/>
    <xf numFmtId="5" fontId="168" fillId="69" borderId="0" xfId="0" applyNumberFormat="1" applyFont="1" applyFill="1" applyBorder="1" applyAlignment="1"/>
    <xf numFmtId="165" fontId="172" fillId="69" borderId="0" xfId="0" applyNumberFormat="1" applyFont="1" applyFill="1" applyBorder="1" applyAlignment="1"/>
    <xf numFmtId="165" fontId="172" fillId="27" borderId="0" xfId="0" applyNumberFormat="1" applyFont="1" applyFill="1" applyBorder="1" applyAlignment="1"/>
    <xf numFmtId="0" fontId="167" fillId="68" borderId="45" xfId="0" applyFont="1" applyFill="1" applyBorder="1" applyAlignment="1"/>
    <xf numFmtId="0" fontId="168" fillId="68" borderId="43" xfId="0" applyFont="1" applyFill="1" applyBorder="1" applyAlignment="1"/>
    <xf numFmtId="0" fontId="168" fillId="68" borderId="9" xfId="0" applyFont="1" applyFill="1" applyBorder="1" applyAlignment="1"/>
    <xf numFmtId="0" fontId="167" fillId="0" borderId="0" xfId="0" applyFont="1" applyFill="1" applyAlignment="1"/>
    <xf numFmtId="167" fontId="167" fillId="0" borderId="0" xfId="0" applyNumberFormat="1" applyFont="1" applyFill="1" applyAlignment="1"/>
    <xf numFmtId="0" fontId="169" fillId="0" borderId="0" xfId="0" applyFont="1" applyFill="1" applyAlignment="1"/>
    <xf numFmtId="0" fontId="167" fillId="62" borderId="43" xfId="0" applyFont="1" applyFill="1" applyBorder="1" applyAlignment="1"/>
    <xf numFmtId="0" fontId="169" fillId="64" borderId="0" xfId="0" applyFont="1" applyFill="1" applyBorder="1" applyAlignment="1"/>
    <xf numFmtId="0" fontId="167" fillId="64" borderId="0" xfId="0" applyFont="1" applyFill="1" applyBorder="1" applyAlignment="1"/>
    <xf numFmtId="0" fontId="167" fillId="64" borderId="43" xfId="0" applyFont="1" applyFill="1" applyBorder="1" applyAlignment="1"/>
    <xf numFmtId="0" fontId="169" fillId="65" borderId="0" xfId="0" applyFont="1" applyFill="1" applyBorder="1" applyAlignment="1"/>
    <xf numFmtId="0" fontId="169" fillId="80" borderId="0" xfId="0" applyFont="1" applyFill="1" applyBorder="1" applyAlignment="1"/>
    <xf numFmtId="0" fontId="168" fillId="80" borderId="45" xfId="0" applyFont="1" applyFill="1" applyBorder="1" applyAlignment="1"/>
    <xf numFmtId="0" fontId="169" fillId="25" borderId="0" xfId="0" applyFont="1" applyFill="1" applyBorder="1" applyAlignment="1"/>
    <xf numFmtId="0" fontId="169" fillId="78" borderId="0" xfId="0" applyFont="1" applyFill="1" applyBorder="1" applyAlignment="1"/>
    <xf numFmtId="0" fontId="169" fillId="66" borderId="45" xfId="0" applyFont="1" applyFill="1" applyBorder="1" applyAlignment="1"/>
    <xf numFmtId="0" fontId="167" fillId="66" borderId="0" xfId="0" applyFont="1" applyFill="1" applyBorder="1" applyAlignment="1"/>
    <xf numFmtId="0" fontId="167" fillId="66" borderId="9" xfId="0" applyFont="1" applyFill="1" applyBorder="1" applyAlignment="1"/>
    <xf numFmtId="0" fontId="169" fillId="27" borderId="45" xfId="0" applyFont="1" applyFill="1" applyBorder="1" applyAlignment="1"/>
    <xf numFmtId="0" fontId="169" fillId="84" borderId="25" xfId="0" applyFont="1" applyFill="1" applyBorder="1" applyAlignment="1"/>
    <xf numFmtId="0" fontId="169" fillId="67" borderId="45" xfId="0" applyFont="1" applyFill="1" applyBorder="1" applyAlignment="1"/>
    <xf numFmtId="0" fontId="167" fillId="67" borderId="45" xfId="0" applyFont="1" applyFill="1" applyBorder="1" applyAlignment="1"/>
    <xf numFmtId="0" fontId="169" fillId="65" borderId="45" xfId="0" applyFont="1" applyFill="1" applyBorder="1" applyAlignment="1"/>
    <xf numFmtId="0" fontId="169" fillId="68" borderId="45" xfId="0" applyFont="1" applyFill="1" applyBorder="1" applyAlignment="1"/>
    <xf numFmtId="0" fontId="169" fillId="28" borderId="45" xfId="0" applyFont="1" applyFill="1" applyBorder="1" applyAlignment="1"/>
    <xf numFmtId="0" fontId="169" fillId="69" borderId="45" xfId="0" applyFont="1" applyFill="1" applyBorder="1" applyAlignment="1"/>
    <xf numFmtId="0" fontId="167" fillId="69" borderId="45" xfId="0" applyFont="1" applyFill="1" applyBorder="1" applyAlignment="1"/>
    <xf numFmtId="0" fontId="167" fillId="27" borderId="0" xfId="0" applyFont="1" applyFill="1" applyBorder="1" applyAlignment="1"/>
    <xf numFmtId="0" fontId="168" fillId="27" borderId="9" xfId="0" applyFont="1" applyFill="1" applyBorder="1" applyAlignment="1"/>
    <xf numFmtId="0" fontId="167" fillId="0" borderId="0" xfId="0" applyFont="1" applyFill="1" applyBorder="1" applyAlignment="1"/>
    <xf numFmtId="0" fontId="169" fillId="72" borderId="0" xfId="0" applyFont="1" applyFill="1" applyBorder="1" applyAlignment="1"/>
    <xf numFmtId="0" fontId="169" fillId="72" borderId="0" xfId="0" applyFont="1" applyFill="1" applyBorder="1" applyAlignment="1">
      <alignment horizontal="center"/>
    </xf>
    <xf numFmtId="0" fontId="169" fillId="72" borderId="0" xfId="0" applyFont="1" applyFill="1" applyBorder="1" applyAlignment="1">
      <alignment horizontal="center" wrapText="1"/>
    </xf>
    <xf numFmtId="0" fontId="167" fillId="72" borderId="45" xfId="0" applyFont="1" applyFill="1" applyBorder="1" applyAlignment="1"/>
    <xf numFmtId="0" fontId="168" fillId="72" borderId="0" xfId="0" applyFont="1" applyFill="1" applyBorder="1" applyAlignment="1"/>
    <xf numFmtId="0" fontId="168" fillId="72" borderId="45" xfId="0" applyFont="1" applyFill="1" applyBorder="1" applyAlignment="1"/>
    <xf numFmtId="0" fontId="167" fillId="72" borderId="0" xfId="0" applyFont="1" applyFill="1" applyBorder="1" applyAlignment="1">
      <alignment horizontal="center"/>
    </xf>
    <xf numFmtId="5" fontId="168" fillId="72" borderId="0" xfId="0" applyNumberFormat="1" applyFont="1" applyFill="1" applyBorder="1" applyAlignment="1"/>
    <xf numFmtId="37" fontId="168" fillId="72" borderId="0" xfId="3228" applyNumberFormat="1" applyFont="1" applyFill="1" applyBorder="1"/>
    <xf numFmtId="5" fontId="171" fillId="72" borderId="0" xfId="0" applyNumberFormat="1" applyFont="1" applyFill="1" applyBorder="1" applyAlignment="1"/>
    <xf numFmtId="5" fontId="171" fillId="72" borderId="0" xfId="0" applyNumberFormat="1" applyFont="1" applyFill="1" applyBorder="1"/>
    <xf numFmtId="37" fontId="168" fillId="62" borderId="0" xfId="0" applyNumberFormat="1" applyFont="1" applyFill="1" applyBorder="1" applyAlignment="1">
      <alignment horizontal="right"/>
    </xf>
    <xf numFmtId="37" fontId="170" fillId="62" borderId="0" xfId="0" applyNumberFormat="1" applyFont="1" applyFill="1" applyBorder="1" applyAlignment="1">
      <alignment horizontal="right"/>
    </xf>
    <xf numFmtId="37" fontId="170" fillId="78" borderId="0" xfId="0" applyNumberFormat="1" applyFont="1" applyFill="1" applyBorder="1"/>
    <xf numFmtId="37" fontId="168" fillId="78" borderId="0" xfId="0" applyNumberFormat="1" applyFont="1" applyFill="1" applyBorder="1"/>
    <xf numFmtId="37" fontId="172" fillId="66" borderId="0" xfId="0" applyNumberFormat="1" applyFont="1" applyFill="1" applyBorder="1"/>
    <xf numFmtId="37" fontId="172" fillId="61" borderId="0" xfId="0" applyNumberFormat="1" applyFont="1" applyFill="1" applyBorder="1"/>
    <xf numFmtId="37" fontId="168" fillId="27" borderId="0" xfId="0" applyNumberFormat="1" applyFont="1" applyFill="1" applyBorder="1"/>
    <xf numFmtId="37" fontId="168" fillId="24" borderId="0" xfId="0" applyNumberFormat="1" applyFont="1" applyFill="1" applyBorder="1"/>
    <xf numFmtId="37" fontId="170" fillId="27" borderId="0" xfId="0" applyNumberFormat="1" applyFont="1" applyFill="1" applyBorder="1"/>
    <xf numFmtId="37" fontId="172" fillId="62" borderId="0" xfId="0" applyNumberFormat="1" applyFont="1" applyFill="1" applyBorder="1"/>
    <xf numFmtId="37" fontId="172" fillId="84" borderId="0" xfId="0" applyNumberFormat="1" applyFont="1" applyFill="1" applyBorder="1"/>
    <xf numFmtId="37" fontId="168" fillId="65" borderId="0" xfId="0" applyNumberFormat="1" applyFont="1" applyFill="1" applyBorder="1"/>
    <xf numFmtId="37" fontId="170" fillId="65" borderId="0" xfId="0" applyNumberFormat="1" applyFont="1" applyFill="1" applyBorder="1"/>
    <xf numFmtId="37" fontId="168" fillId="68" borderId="0" xfId="0" applyNumberFormat="1" applyFont="1" applyFill="1" applyBorder="1"/>
    <xf numFmtId="5" fontId="171" fillId="68" borderId="0" xfId="0" applyNumberFormat="1" applyFont="1" applyFill="1" applyBorder="1"/>
    <xf numFmtId="5" fontId="173" fillId="68" borderId="0" xfId="0" applyNumberFormat="1" applyFont="1" applyFill="1" applyBorder="1"/>
    <xf numFmtId="5" fontId="168" fillId="72" borderId="0" xfId="3228" applyNumberFormat="1" applyFont="1" applyFill="1" applyBorder="1"/>
    <xf numFmtId="5" fontId="170" fillId="64" borderId="0" xfId="0" applyNumberFormat="1" applyFont="1" applyFill="1" applyBorder="1" applyAlignment="1">
      <alignment horizontal="right"/>
    </xf>
    <xf numFmtId="5" fontId="171" fillId="64" borderId="0" xfId="0" applyNumberFormat="1" applyFont="1" applyFill="1" applyBorder="1" applyAlignment="1">
      <alignment horizontal="right"/>
    </xf>
    <xf numFmtId="5" fontId="168" fillId="62" borderId="0" xfId="0" applyNumberFormat="1" applyFont="1" applyFill="1" applyBorder="1" applyAlignment="1">
      <alignment horizontal="right"/>
    </xf>
    <xf numFmtId="0" fontId="169" fillId="68" borderId="0" xfId="0" applyFont="1" applyFill="1" applyBorder="1" applyAlignment="1">
      <alignment horizontal="left" indent="5"/>
    </xf>
    <xf numFmtId="5" fontId="169" fillId="27" borderId="0" xfId="0" applyNumberFormat="1" applyFont="1" applyFill="1" applyBorder="1" applyAlignment="1">
      <alignment horizontal="left" indent="5"/>
    </xf>
    <xf numFmtId="0" fontId="169" fillId="27" borderId="0" xfId="0" applyFont="1" applyFill="1" applyBorder="1" applyAlignment="1">
      <alignment horizontal="left" indent="5"/>
    </xf>
    <xf numFmtId="0" fontId="169" fillId="69" borderId="0" xfId="0" applyFont="1" applyFill="1" applyBorder="1" applyAlignment="1">
      <alignment horizontal="left" indent="5"/>
    </xf>
    <xf numFmtId="0" fontId="169" fillId="28" borderId="0" xfId="0" applyFont="1" applyFill="1" applyBorder="1" applyAlignment="1">
      <alignment horizontal="left" indent="5"/>
    </xf>
    <xf numFmtId="166" fontId="169" fillId="65" borderId="0" xfId="0" applyNumberFormat="1" applyFont="1" applyFill="1" applyBorder="1" applyAlignment="1">
      <alignment horizontal="left" indent="5"/>
    </xf>
    <xf numFmtId="0" fontId="169" fillId="67" borderId="0" xfId="0" applyFont="1" applyFill="1" applyBorder="1" applyAlignment="1">
      <alignment horizontal="left" indent="5"/>
    </xf>
    <xf numFmtId="0" fontId="169" fillId="62" borderId="0" xfId="0" applyFont="1" applyFill="1" applyBorder="1" applyAlignment="1">
      <alignment horizontal="left" indent="5"/>
    </xf>
    <xf numFmtId="0" fontId="169" fillId="66" borderId="0" xfId="0" applyFont="1" applyFill="1" applyBorder="1" applyAlignment="1">
      <alignment horizontal="left" indent="5"/>
    </xf>
    <xf numFmtId="0" fontId="169" fillId="78" borderId="0" xfId="0" applyFont="1" applyFill="1" applyBorder="1" applyAlignment="1">
      <alignment horizontal="left" indent="5"/>
    </xf>
    <xf numFmtId="0" fontId="169" fillId="25" borderId="0" xfId="0" applyFont="1" applyFill="1" applyBorder="1" applyAlignment="1">
      <alignment horizontal="left" indent="5"/>
    </xf>
    <xf numFmtId="0" fontId="169" fillId="72" borderId="0" xfId="0" applyFont="1" applyFill="1" applyBorder="1" applyAlignment="1">
      <alignment horizontal="left" indent="5"/>
    </xf>
    <xf numFmtId="0" fontId="169" fillId="80" borderId="0" xfId="0" applyFont="1" applyFill="1" applyBorder="1" applyAlignment="1">
      <alignment horizontal="left" indent="5"/>
    </xf>
    <xf numFmtId="0" fontId="169" fillId="65" borderId="0" xfId="0" applyFont="1" applyFill="1" applyBorder="1" applyAlignment="1">
      <alignment horizontal="left" indent="5"/>
    </xf>
    <xf numFmtId="0" fontId="169" fillId="64" borderId="0" xfId="0" applyFont="1" applyFill="1" applyBorder="1" applyAlignment="1">
      <alignment horizontal="left" indent="5"/>
    </xf>
    <xf numFmtId="37" fontId="170" fillId="68" borderId="0" xfId="0" applyNumberFormat="1" applyFont="1" applyFill="1" applyBorder="1"/>
    <xf numFmtId="0" fontId="167" fillId="27" borderId="43" xfId="0" applyFont="1" applyFill="1" applyBorder="1" applyAlignment="1">
      <alignment horizontal="right"/>
    </xf>
    <xf numFmtId="10" fontId="168" fillId="61" borderId="0" xfId="0" applyNumberFormat="1" applyFont="1" applyFill="1" applyBorder="1"/>
    <xf numFmtId="168" fontId="168" fillId="61" borderId="0" xfId="21992" applyNumberFormat="1" applyFont="1" applyFill="1" applyBorder="1"/>
    <xf numFmtId="10" fontId="168" fillId="61" borderId="0" xfId="21992" applyNumberFormat="1" applyFont="1" applyFill="1" applyBorder="1"/>
    <xf numFmtId="10" fontId="168" fillId="61" borderId="9" xfId="21992" applyNumberFormat="1" applyFont="1" applyFill="1" applyBorder="1"/>
    <xf numFmtId="168" fontId="168" fillId="61" borderId="0" xfId="0" applyNumberFormat="1" applyFont="1" applyFill="1" applyBorder="1"/>
    <xf numFmtId="10" fontId="168" fillId="62" borderId="0" xfId="21992" applyNumberFormat="1" applyFont="1" applyFill="1" applyBorder="1"/>
    <xf numFmtId="7" fontId="168" fillId="62" borderId="45" xfId="0" applyNumberFormat="1" applyFont="1" applyFill="1" applyBorder="1" applyAlignment="1"/>
    <xf numFmtId="5" fontId="168" fillId="67" borderId="0" xfId="0" applyNumberFormat="1" applyFont="1" applyFill="1" applyBorder="1"/>
    <xf numFmtId="5" fontId="168" fillId="69" borderId="0" xfId="0" applyNumberFormat="1" applyFont="1" applyFill="1" applyBorder="1" applyAlignment="1">
      <alignment horizontal="right"/>
    </xf>
    <xf numFmtId="37" fontId="170" fillId="69" borderId="0" xfId="0" applyNumberFormat="1" applyFont="1" applyFill="1" applyBorder="1" applyAlignment="1">
      <alignment horizontal="right"/>
    </xf>
    <xf numFmtId="37" fontId="170" fillId="61" borderId="0" xfId="0" applyNumberFormat="1" applyFont="1" applyFill="1" applyBorder="1" applyAlignment="1">
      <alignment horizontal="right"/>
    </xf>
    <xf numFmtId="37" fontId="168" fillId="83" borderId="0" xfId="0" applyNumberFormat="1" applyFont="1" applyFill="1" applyBorder="1" applyAlignment="1">
      <alignment horizontal="right"/>
    </xf>
    <xf numFmtId="37" fontId="168" fillId="61" borderId="0" xfId="0" applyNumberFormat="1" applyFont="1" applyFill="1" applyBorder="1" applyAlignment="1">
      <alignment horizontal="right"/>
    </xf>
    <xf numFmtId="37" fontId="168" fillId="69" borderId="0" xfId="0" applyNumberFormat="1" applyFont="1" applyFill="1" applyBorder="1" applyAlignment="1">
      <alignment horizontal="right"/>
    </xf>
    <xf numFmtId="37" fontId="168" fillId="69" borderId="0" xfId="0" applyNumberFormat="1" applyFont="1" applyFill="1" applyBorder="1"/>
    <xf numFmtId="166" fontId="170" fillId="64" borderId="0" xfId="0" applyNumberFormat="1" applyFont="1" applyFill="1" applyBorder="1" applyAlignment="1">
      <alignment horizontal="right"/>
    </xf>
    <xf numFmtId="165" fontId="168" fillId="72" borderId="0" xfId="0" applyNumberFormat="1" applyFont="1" applyFill="1" applyBorder="1"/>
    <xf numFmtId="37" fontId="170" fillId="72" borderId="0" xfId="3228" applyNumberFormat="1" applyFont="1" applyFill="1" applyBorder="1"/>
    <xf numFmtId="5" fontId="168" fillId="81" borderId="0" xfId="0" applyNumberFormat="1" applyFont="1" applyFill="1" applyBorder="1"/>
    <xf numFmtId="37" fontId="168" fillId="81" borderId="0" xfId="0" applyNumberFormat="1" applyFont="1" applyFill="1" applyBorder="1"/>
    <xf numFmtId="165" fontId="168" fillId="81" borderId="0" xfId="0" applyNumberFormat="1" applyFont="1" applyFill="1" applyBorder="1"/>
    <xf numFmtId="0" fontId="168" fillId="81" borderId="0" xfId="0" applyFont="1" applyFill="1" applyBorder="1"/>
    <xf numFmtId="0" fontId="169" fillId="81" borderId="0" xfId="0" applyFont="1" applyFill="1" applyBorder="1" applyAlignment="1">
      <alignment horizontal="left" indent="5"/>
    </xf>
    <xf numFmtId="5" fontId="168" fillId="81" borderId="9" xfId="0" applyNumberFormat="1" applyFont="1" applyFill="1" applyBorder="1"/>
    <xf numFmtId="37" fontId="172" fillId="82" borderId="0" xfId="0" applyNumberFormat="1" applyFont="1" applyFill="1" applyBorder="1"/>
    <xf numFmtId="5" fontId="168" fillId="86" borderId="0" xfId="0" applyNumberFormat="1" applyFont="1" applyFill="1" applyBorder="1"/>
    <xf numFmtId="37" fontId="168" fillId="86" borderId="0" xfId="0" applyNumberFormat="1" applyFont="1" applyFill="1" applyBorder="1"/>
    <xf numFmtId="168" fontId="168" fillId="84" borderId="0" xfId="21992" applyNumberFormat="1" applyFont="1" applyFill="1" applyBorder="1"/>
    <xf numFmtId="165" fontId="170" fillId="84" borderId="0" xfId="0" applyNumberFormat="1" applyFont="1" applyFill="1" applyBorder="1"/>
    <xf numFmtId="37" fontId="170" fillId="72" borderId="0" xfId="0" applyNumberFormat="1" applyFont="1" applyFill="1" applyBorder="1"/>
    <xf numFmtId="0" fontId="168" fillId="89" borderId="0" xfId="0" applyFont="1" applyFill="1" applyBorder="1"/>
    <xf numFmtId="5" fontId="168" fillId="89" borderId="0" xfId="0" applyNumberFormat="1" applyFont="1" applyFill="1" applyBorder="1"/>
    <xf numFmtId="37" fontId="168" fillId="89" borderId="0" xfId="0" applyNumberFormat="1" applyFont="1" applyFill="1" applyBorder="1"/>
    <xf numFmtId="5" fontId="171" fillId="89" borderId="0" xfId="0" applyNumberFormat="1" applyFont="1" applyFill="1" applyBorder="1"/>
    <xf numFmtId="0" fontId="169" fillId="89" borderId="0" xfId="0" applyFont="1" applyFill="1" applyBorder="1" applyAlignment="1">
      <alignment horizontal="left" indent="5"/>
    </xf>
    <xf numFmtId="166" fontId="171" fillId="89" borderId="0" xfId="0" applyNumberFormat="1" applyFont="1" applyFill="1" applyBorder="1"/>
    <xf numFmtId="175" fontId="33" fillId="101" borderId="0" xfId="3601" applyNumberFormat="1" applyFont="1" applyFill="1" applyAlignment="1">
      <alignment vertical="center"/>
    </xf>
    <xf numFmtId="176" fontId="33" fillId="101" borderId="0" xfId="0" applyNumberFormat="1" applyFont="1" applyFill="1" applyBorder="1"/>
    <xf numFmtId="10" fontId="81" fillId="61" borderId="0" xfId="21992" applyNumberFormat="1" applyFont="1" applyFill="1" applyAlignment="1">
      <alignment horizontal="center"/>
    </xf>
    <xf numFmtId="37" fontId="33" fillId="76" borderId="0" xfId="0" applyNumberFormat="1" applyFont="1" applyFill="1"/>
    <xf numFmtId="40" fontId="166" fillId="78" borderId="0" xfId="2950" applyNumberFormat="1" applyFont="1" applyFill="1" applyBorder="1" applyAlignment="1" applyProtection="1">
      <alignment horizontal="centerContinuous" vertical="center"/>
      <protection locked="0"/>
    </xf>
    <xf numFmtId="40" fontId="24" fillId="78" borderId="0" xfId="2950" applyNumberFormat="1" applyFill="1" applyAlignment="1" applyProtection="1">
      <alignment horizontal="centerContinuous"/>
      <protection locked="0"/>
    </xf>
    <xf numFmtId="40" fontId="28" fillId="78" borderId="0" xfId="2950" applyNumberFormat="1" applyFont="1" applyFill="1" applyBorder="1" applyAlignment="1" applyProtection="1">
      <alignment horizontal="centerContinuous"/>
      <protection locked="0"/>
    </xf>
    <xf numFmtId="40" fontId="24" fillId="78" borderId="0" xfId="2950" applyNumberFormat="1" applyFont="1" applyFill="1" applyAlignment="1" applyProtection="1">
      <alignment horizontal="centerContinuous"/>
      <protection locked="0"/>
    </xf>
    <xf numFmtId="40" fontId="0" fillId="78" borderId="0" xfId="0" applyNumberFormat="1" applyFill="1"/>
    <xf numFmtId="40" fontId="28" fillId="78" borderId="0" xfId="2950" applyNumberFormat="1" applyFont="1" applyFill="1" applyBorder="1" applyAlignment="1" applyProtection="1">
      <alignment horizontal="centerContinuous" vertical="center"/>
      <protection locked="0"/>
    </xf>
    <xf numFmtId="40" fontId="31" fillId="78" borderId="0" xfId="2950" applyNumberFormat="1" applyFont="1" applyFill="1" applyAlignment="1" applyProtection="1">
      <alignment horizontal="centerContinuous"/>
      <protection locked="0"/>
    </xf>
    <xf numFmtId="40" fontId="28" fillId="78" borderId="9" xfId="2950" applyNumberFormat="1" applyFont="1" applyFill="1" applyBorder="1" applyAlignment="1" applyProtection="1">
      <alignment horizontal="center"/>
      <protection locked="0"/>
    </xf>
    <xf numFmtId="40" fontId="28" fillId="78" borderId="9" xfId="2950" applyNumberFormat="1" applyFont="1" applyFill="1" applyBorder="1" applyProtection="1">
      <protection locked="0"/>
    </xf>
    <xf numFmtId="40" fontId="29" fillId="102" borderId="62" xfId="2950" applyNumberFormat="1" applyFont="1" applyFill="1" applyBorder="1" applyAlignment="1" applyProtection="1">
      <alignment horizontal="centerContinuous"/>
      <protection locked="0"/>
    </xf>
    <xf numFmtId="40" fontId="30" fillId="102" borderId="57" xfId="2950" applyNumberFormat="1" applyFont="1" applyFill="1" applyBorder="1" applyAlignment="1" applyProtection="1">
      <alignment horizontal="centerContinuous"/>
      <protection locked="0"/>
    </xf>
    <xf numFmtId="40" fontId="30" fillId="102" borderId="58" xfId="2950" applyNumberFormat="1" applyFont="1" applyFill="1" applyBorder="1" applyAlignment="1" applyProtection="1">
      <alignment horizontal="centerContinuous"/>
      <protection locked="0"/>
    </xf>
    <xf numFmtId="40" fontId="24" fillId="102" borderId="13" xfId="2950" applyNumberFormat="1" applyFill="1" applyBorder="1" applyAlignment="1" applyProtection="1">
      <alignment horizontal="center"/>
      <protection locked="0"/>
    </xf>
    <xf numFmtId="40" fontId="24" fillId="102" borderId="48" xfId="2950" applyNumberFormat="1" applyFill="1" applyBorder="1" applyProtection="1">
      <protection locked="0"/>
    </xf>
    <xf numFmtId="40" fontId="24" fillId="102" borderId="45" xfId="2950" applyNumberFormat="1" applyFill="1" applyBorder="1" applyAlignment="1" applyProtection="1">
      <alignment horizontal="center"/>
      <protection locked="0"/>
    </xf>
    <xf numFmtId="40" fontId="24" fillId="102" borderId="0" xfId="2950" applyNumberFormat="1" applyFill="1" applyBorder="1" applyAlignment="1" applyProtection="1">
      <alignment horizontal="center"/>
      <protection locked="0"/>
    </xf>
    <xf numFmtId="40" fontId="24" fillId="102" borderId="46" xfId="2950" applyNumberFormat="1" applyFill="1" applyBorder="1" applyAlignment="1" applyProtection="1">
      <alignment horizontal="center"/>
      <protection locked="0"/>
    </xf>
    <xf numFmtId="40" fontId="24" fillId="102" borderId="68" xfId="2950" applyNumberFormat="1" applyFill="1" applyBorder="1" applyProtection="1">
      <protection locked="0"/>
    </xf>
    <xf numFmtId="0" fontId="24" fillId="102" borderId="45" xfId="2950" applyNumberFormat="1" applyFill="1" applyBorder="1" applyAlignment="1" applyProtection="1">
      <alignment horizontal="center"/>
      <protection locked="0"/>
    </xf>
    <xf numFmtId="0" fontId="24" fillId="102" borderId="0" xfId="2950" applyNumberFormat="1" applyFill="1" applyBorder="1" applyAlignment="1" applyProtection="1">
      <alignment horizontal="center"/>
      <protection locked="0"/>
    </xf>
    <xf numFmtId="0" fontId="24" fillId="102" borderId="46" xfId="2950" applyNumberFormat="1" applyFill="1" applyBorder="1" applyAlignment="1" applyProtection="1">
      <alignment horizontal="center"/>
      <protection locked="0"/>
    </xf>
    <xf numFmtId="40" fontId="0" fillId="78" borderId="49" xfId="0" applyNumberFormat="1" applyFill="1" applyBorder="1"/>
    <xf numFmtId="40" fontId="0" fillId="78" borderId="69" xfId="0" applyNumberFormat="1" applyFill="1" applyBorder="1" applyAlignment="1">
      <alignment wrapText="1"/>
    </xf>
    <xf numFmtId="38" fontId="26" fillId="78" borderId="27" xfId="1513" applyNumberFormat="1" applyFont="1" applyFill="1" applyBorder="1" applyProtection="1">
      <protection locked="0"/>
    </xf>
    <xf numFmtId="38" fontId="26" fillId="78" borderId="63" xfId="1513" applyNumberFormat="1" applyFont="1" applyFill="1" applyBorder="1" applyProtection="1">
      <protection locked="0"/>
    </xf>
    <xf numFmtId="38" fontId="26" fillId="78" borderId="64" xfId="1513" applyNumberFormat="1" applyFont="1" applyFill="1" applyBorder="1" applyProtection="1">
      <protection locked="0"/>
    </xf>
    <xf numFmtId="40" fontId="0" fillId="78" borderId="69" xfId="0" applyNumberFormat="1" applyFill="1" applyBorder="1"/>
    <xf numFmtId="40" fontId="0" fillId="78" borderId="70" xfId="0" applyNumberFormat="1" applyFill="1" applyBorder="1"/>
    <xf numFmtId="38" fontId="26" fillId="78" borderId="66" xfId="1513" applyNumberFormat="1" applyFont="1" applyFill="1" applyBorder="1" applyProtection="1">
      <protection locked="0"/>
    </xf>
    <xf numFmtId="38" fontId="26" fillId="78" borderId="65" xfId="1513" applyNumberFormat="1" applyFont="1" applyFill="1" applyBorder="1" applyProtection="1">
      <protection locked="0"/>
    </xf>
    <xf numFmtId="38" fontId="26" fillId="78" borderId="67" xfId="1513" applyNumberFormat="1" applyFont="1" applyFill="1" applyBorder="1" applyProtection="1">
      <protection locked="0"/>
    </xf>
    <xf numFmtId="40" fontId="0" fillId="103" borderId="49" xfId="0" applyNumberFormat="1" applyFill="1" applyBorder="1"/>
    <xf numFmtId="40" fontId="0" fillId="103" borderId="69" xfId="0" applyNumberFormat="1" applyFill="1" applyBorder="1" applyAlignment="1">
      <alignment wrapText="1"/>
    </xf>
    <xf numFmtId="38" fontId="26" fillId="103" borderId="27" xfId="1513" applyNumberFormat="1" applyFont="1" applyFill="1" applyBorder="1" applyProtection="1">
      <protection locked="0"/>
    </xf>
    <xf numFmtId="38" fontId="26" fillId="103" borderId="63" xfId="1513" applyNumberFormat="1" applyFont="1" applyFill="1" applyBorder="1" applyProtection="1">
      <protection locked="0"/>
    </xf>
    <xf numFmtId="38" fontId="26" fillId="103" borderId="64" xfId="1513" applyNumberFormat="1" applyFont="1" applyFill="1" applyBorder="1" applyProtection="1">
      <protection locked="0"/>
    </xf>
    <xf numFmtId="167" fontId="167" fillId="0" borderId="0" xfId="0" applyNumberFormat="1" applyFont="1" applyFill="1" applyAlignment="1">
      <alignment horizontal="left"/>
    </xf>
    <xf numFmtId="10" fontId="33" fillId="0" borderId="0" xfId="21992" applyNumberFormat="1" applyFont="1" applyFill="1"/>
    <xf numFmtId="37" fontId="168" fillId="0" borderId="0" xfId="0" applyNumberFormat="1" applyFont="1" applyFill="1" applyBorder="1"/>
    <xf numFmtId="164" fontId="172" fillId="0" borderId="0" xfId="0" applyNumberFormat="1" applyFont="1" applyFill="1" applyBorder="1"/>
    <xf numFmtId="0" fontId="168" fillId="0" borderId="0" xfId="0" applyFont="1" applyFill="1" applyBorder="1" applyAlignment="1">
      <alignment horizontal="left"/>
    </xf>
    <xf numFmtId="0" fontId="167" fillId="0" borderId="0" xfId="0" applyFont="1" applyFill="1" applyBorder="1"/>
    <xf numFmtId="9" fontId="168" fillId="0" borderId="0" xfId="21992" applyFont="1" applyFill="1" applyBorder="1"/>
    <xf numFmtId="184" fontId="168" fillId="0" borderId="0" xfId="21991" applyNumberFormat="1" applyFont="1" applyFill="1" applyBorder="1"/>
    <xf numFmtId="7" fontId="168" fillId="0" borderId="0" xfId="0" applyNumberFormat="1" applyFont="1" applyFill="1" applyBorder="1"/>
    <xf numFmtId="166" fontId="57" fillId="0" borderId="0" xfId="0" applyNumberFormat="1" applyFont="1" applyFill="1" applyBorder="1" applyAlignment="1">
      <alignment horizontal="left" vertical="center"/>
    </xf>
    <xf numFmtId="166" fontId="57" fillId="0" borderId="0" xfId="0" applyNumberFormat="1" applyFont="1" applyFill="1" applyBorder="1" applyAlignment="1">
      <alignment horizontal="right" vertical="center"/>
    </xf>
    <xf numFmtId="5" fontId="57" fillId="0" borderId="0" xfId="0" applyNumberFormat="1" applyFont="1" applyFill="1" applyBorder="1" applyAlignment="1">
      <alignment horizontal="right" vertical="center"/>
    </xf>
    <xf numFmtId="5" fontId="184" fillId="0" borderId="0" xfId="0" applyNumberFormat="1" applyFont="1" applyFill="1" applyBorder="1" applyAlignment="1">
      <alignment horizontal="right" vertical="center"/>
    </xf>
    <xf numFmtId="37" fontId="57" fillId="0" borderId="0" xfId="0" applyNumberFormat="1" applyFont="1" applyFill="1" applyBorder="1" applyAlignment="1">
      <alignment horizontal="right" vertical="center"/>
    </xf>
    <xf numFmtId="37" fontId="184" fillId="0" borderId="0" xfId="0" applyNumberFormat="1" applyFont="1" applyFill="1" applyBorder="1" applyAlignment="1">
      <alignment horizontal="right" vertical="center"/>
    </xf>
    <xf numFmtId="5" fontId="185" fillId="0" borderId="0" xfId="0" applyNumberFormat="1" applyFont="1" applyFill="1" applyBorder="1" applyAlignment="1">
      <alignment horizontal="right" vertical="center"/>
    </xf>
    <xf numFmtId="5" fontId="184" fillId="0" borderId="0" xfId="0" applyNumberFormat="1" applyFont="1" applyFill="1" applyBorder="1" applyAlignment="1">
      <alignment horizontal="left" vertical="center" indent="5"/>
    </xf>
    <xf numFmtId="5" fontId="184" fillId="0" borderId="0" xfId="0" applyNumberFormat="1" applyFont="1" applyFill="1" applyBorder="1" applyAlignment="1">
      <alignment horizontal="left" vertical="center" indent="6"/>
    </xf>
    <xf numFmtId="0" fontId="57" fillId="0" borderId="0" xfId="0" applyFont="1" applyBorder="1" applyAlignment="1">
      <alignment horizontal="left" vertical="center"/>
    </xf>
    <xf numFmtId="5" fontId="57" fillId="0" borderId="0" xfId="0" applyNumberFormat="1" applyFont="1" applyBorder="1" applyAlignment="1">
      <alignment horizontal="right" vertical="center"/>
    </xf>
    <xf numFmtId="166" fontId="186" fillId="0" borderId="0" xfId="0" applyNumberFormat="1" applyFont="1" applyFill="1" applyBorder="1" applyAlignment="1">
      <alignment horizontal="left" vertical="center"/>
    </xf>
    <xf numFmtId="5" fontId="57" fillId="0" borderId="0" xfId="0" applyNumberFormat="1" applyFont="1" applyFill="1" applyBorder="1" applyAlignment="1">
      <alignment horizontal="left" vertical="center"/>
    </xf>
    <xf numFmtId="42" fontId="168" fillId="0" borderId="0" xfId="0" applyNumberFormat="1" applyFont="1" applyBorder="1"/>
    <xf numFmtId="42" fontId="168" fillId="0" borderId="0" xfId="0" applyNumberFormat="1" applyFont="1" applyFill="1" applyBorder="1"/>
    <xf numFmtId="0" fontId="57" fillId="0" borderId="0" xfId="0" applyFont="1" applyBorder="1" applyAlignment="1">
      <alignment horizontal="right" vertical="center"/>
    </xf>
    <xf numFmtId="44" fontId="168" fillId="0" borderId="0" xfId="27898" applyFont="1" applyFill="1"/>
    <xf numFmtId="190" fontId="169" fillId="84" borderId="25" xfId="0" applyNumberFormat="1" applyFont="1" applyFill="1" applyBorder="1" applyAlignment="1">
      <alignment horizontal="center" wrapText="1"/>
    </xf>
    <xf numFmtId="10" fontId="168" fillId="62" borderId="0" xfId="0" applyNumberFormat="1" applyFont="1" applyFill="1" applyBorder="1"/>
    <xf numFmtId="166" fontId="189" fillId="0" borderId="0" xfId="0" applyNumberFormat="1" applyFont="1" applyFill="1" applyBorder="1" applyAlignment="1">
      <alignment horizontal="left" vertical="center" indent="2"/>
    </xf>
    <xf numFmtId="44" fontId="168" fillId="0" borderId="0" xfId="0" applyNumberFormat="1" applyFont="1" applyFill="1" applyBorder="1"/>
    <xf numFmtId="0" fontId="168" fillId="0" borderId="0" xfId="0" applyFont="1" applyFill="1" applyBorder="1" applyAlignment="1">
      <alignment vertical="center"/>
    </xf>
    <xf numFmtId="37" fontId="168" fillId="0" borderId="0" xfId="0" applyNumberFormat="1" applyFont="1" applyFill="1" applyBorder="1" applyAlignment="1">
      <alignment vertical="center"/>
    </xf>
    <xf numFmtId="184" fontId="168" fillId="0" borderId="0" xfId="21991" applyNumberFormat="1" applyFont="1" applyFill="1" applyBorder="1" applyAlignment="1">
      <alignment vertical="center"/>
    </xf>
    <xf numFmtId="7" fontId="168" fillId="0" borderId="0" xfId="0" applyNumberFormat="1" applyFont="1" applyFill="1" applyBorder="1" applyAlignment="1">
      <alignment vertical="center"/>
    </xf>
    <xf numFmtId="9" fontId="168" fillId="0" borderId="0" xfId="21992" applyFont="1" applyFill="1" applyBorder="1" applyAlignment="1">
      <alignment vertical="center"/>
    </xf>
    <xf numFmtId="0" fontId="168" fillId="0" borderId="0" xfId="0" applyFont="1" applyAlignment="1">
      <alignment vertical="center"/>
    </xf>
    <xf numFmtId="42" fontId="168" fillId="0" borderId="0" xfId="0" applyNumberFormat="1" applyFont="1" applyFill="1" applyBorder="1" applyAlignment="1">
      <alignment vertical="center"/>
    </xf>
    <xf numFmtId="5" fontId="169" fillId="65" borderId="0" xfId="0" applyNumberFormat="1" applyFont="1" applyFill="1" applyBorder="1" applyAlignment="1">
      <alignment horizontal="center" wrapText="1"/>
    </xf>
    <xf numFmtId="0" fontId="190" fillId="0" borderId="0" xfId="2950" applyFont="1" applyAlignment="1" applyProtection="1">
      <alignment horizontal="centerContinuous"/>
      <protection locked="0"/>
    </xf>
    <xf numFmtId="0" fontId="34" fillId="0" borderId="0" xfId="2950" applyFont="1" applyBorder="1" applyAlignment="1" applyProtection="1">
      <alignment horizontal="centerContinuous"/>
      <protection locked="0"/>
    </xf>
    <xf numFmtId="0" fontId="60" fillId="0" borderId="0" xfId="0" applyFont="1"/>
    <xf numFmtId="0" fontId="35" fillId="0" borderId="0" xfId="2950" applyFont="1" applyBorder="1" applyAlignment="1" applyProtection="1">
      <alignment horizontal="centerContinuous" vertical="center"/>
      <protection locked="0"/>
    </xf>
    <xf numFmtId="0" fontId="35" fillId="0" borderId="0" xfId="2950" applyFont="1" applyBorder="1" applyAlignment="1" applyProtection="1">
      <alignment horizontal="centerContinuous"/>
      <protection locked="0"/>
    </xf>
    <xf numFmtId="0" fontId="191" fillId="0" borderId="0" xfId="0" applyFont="1"/>
    <xf numFmtId="0" fontId="33" fillId="0" borderId="0" xfId="2950" applyFont="1" applyAlignment="1" applyProtection="1">
      <alignment horizontal="centerContinuous"/>
      <protection locked="0"/>
    </xf>
    <xf numFmtId="0" fontId="33" fillId="0" borderId="0" xfId="2950" applyFont="1" applyFill="1" applyAlignment="1" applyProtection="1">
      <alignment horizontal="centerContinuous"/>
      <protection locked="0"/>
    </xf>
    <xf numFmtId="37" fontId="191" fillId="0" borderId="13" xfId="0" applyNumberFormat="1" applyFont="1" applyBorder="1"/>
    <xf numFmtId="37" fontId="191" fillId="0" borderId="0" xfId="0" applyNumberFormat="1" applyFont="1" applyBorder="1"/>
    <xf numFmtId="0" fontId="191" fillId="0" borderId="23" xfId="0" applyFont="1" applyBorder="1"/>
    <xf numFmtId="37" fontId="191" fillId="0" borderId="16" xfId="0" applyNumberFormat="1" applyFont="1" applyBorder="1"/>
    <xf numFmtId="9" fontId="191" fillId="0" borderId="23" xfId="21992" applyFont="1" applyBorder="1"/>
    <xf numFmtId="37" fontId="191" fillId="0" borderId="73" xfId="0" applyNumberFormat="1" applyFont="1" applyBorder="1"/>
    <xf numFmtId="37" fontId="191" fillId="0" borderId="47" xfId="0" applyNumberFormat="1" applyFont="1" applyBorder="1"/>
    <xf numFmtId="9" fontId="191" fillId="0" borderId="72" xfId="21992" applyFont="1" applyBorder="1"/>
    <xf numFmtId="37" fontId="191" fillId="0" borderId="74" xfId="0" applyNumberFormat="1" applyFont="1" applyBorder="1"/>
    <xf numFmtId="43" fontId="191" fillId="0" borderId="0" xfId="0" applyNumberFormat="1" applyFont="1"/>
    <xf numFmtId="0" fontId="192" fillId="0" borderId="0" xfId="2950" applyFont="1" applyBorder="1" applyAlignment="1" applyProtection="1">
      <alignment horizontal="centerContinuous" vertical="center"/>
      <protection locked="0"/>
    </xf>
    <xf numFmtId="170" fontId="35" fillId="0" borderId="9" xfId="2950" applyNumberFormat="1" applyFont="1" applyFill="1" applyBorder="1" applyAlignment="1" applyProtection="1">
      <alignment horizontal="center"/>
      <protection locked="0"/>
    </xf>
    <xf numFmtId="0" fontId="35" fillId="0" borderId="9" xfId="2950" applyFont="1" applyFill="1" applyBorder="1" applyProtection="1">
      <protection locked="0"/>
    </xf>
    <xf numFmtId="0" fontId="35" fillId="26" borderId="10" xfId="2950" applyFont="1" applyFill="1" applyBorder="1" applyAlignment="1" applyProtection="1">
      <alignment horizontal="centerContinuous"/>
      <protection locked="0"/>
    </xf>
    <xf numFmtId="0" fontId="31" fillId="26" borderId="11" xfId="2950" applyFont="1" applyFill="1" applyBorder="1" applyAlignment="1" applyProtection="1">
      <alignment horizontal="centerContinuous"/>
      <protection locked="0"/>
    </xf>
    <xf numFmtId="0" fontId="31" fillId="26" borderId="12" xfId="2950" applyFont="1" applyFill="1" applyBorder="1" applyAlignment="1" applyProtection="1">
      <alignment horizontal="centerContinuous"/>
      <protection locked="0"/>
    </xf>
    <xf numFmtId="0" fontId="35" fillId="0" borderId="0" xfId="2950" applyFont="1" applyFill="1" applyBorder="1" applyProtection="1">
      <protection locked="0"/>
    </xf>
    <xf numFmtId="0" fontId="35" fillId="26" borderId="49" xfId="2950" applyFont="1" applyFill="1" applyBorder="1" applyAlignment="1" applyProtection="1">
      <alignment horizontal="centerContinuous"/>
      <protection locked="0"/>
    </xf>
    <xf numFmtId="0" fontId="31" fillId="26" borderId="50" xfId="2950" applyFont="1" applyFill="1" applyBorder="1" applyAlignment="1" applyProtection="1">
      <alignment horizontal="centerContinuous"/>
      <protection locked="0"/>
    </xf>
    <xf numFmtId="0" fontId="31" fillId="26" borderId="51" xfId="2950" applyFont="1" applyFill="1" applyBorder="1" applyAlignment="1" applyProtection="1">
      <alignment horizontal="centerContinuous"/>
      <protection locked="0"/>
    </xf>
    <xf numFmtId="170" fontId="31" fillId="26" borderId="13" xfId="2950" applyNumberFormat="1" applyFont="1" applyFill="1" applyBorder="1" applyAlignment="1" applyProtection="1">
      <alignment horizontal="center"/>
      <protection locked="0"/>
    </xf>
    <xf numFmtId="0" fontId="31" fillId="26" borderId="0" xfId="2950" applyFont="1" applyFill="1" applyBorder="1" applyProtection="1">
      <protection locked="0"/>
    </xf>
    <xf numFmtId="0" fontId="31" fillId="26" borderId="24" xfId="2950" applyFont="1" applyFill="1" applyBorder="1" applyAlignment="1" applyProtection="1">
      <alignment horizontal="center"/>
      <protection locked="0"/>
    </xf>
    <xf numFmtId="0" fontId="31" fillId="26" borderId="25" xfId="2950" applyFont="1" applyFill="1" applyBorder="1" applyAlignment="1" applyProtection="1">
      <alignment horizontal="center"/>
      <protection locked="0"/>
    </xf>
    <xf numFmtId="0" fontId="31" fillId="26" borderId="15" xfId="2950" applyFont="1" applyFill="1" applyBorder="1" applyAlignment="1" applyProtection="1">
      <alignment horizontal="center"/>
      <protection locked="0"/>
    </xf>
    <xf numFmtId="0" fontId="31" fillId="26" borderId="14" xfId="2950" applyFont="1" applyFill="1" applyBorder="1" applyAlignment="1" applyProtection="1">
      <alignment horizontal="centerContinuous"/>
      <protection locked="0"/>
    </xf>
    <xf numFmtId="0" fontId="31" fillId="26" borderId="13" xfId="2950" applyFont="1" applyFill="1" applyBorder="1" applyAlignment="1" applyProtection="1">
      <alignment horizontal="center"/>
      <protection locked="0"/>
    </xf>
    <xf numFmtId="0" fontId="31" fillId="26" borderId="0" xfId="2950" applyFont="1" applyFill="1" applyBorder="1" applyAlignment="1" applyProtection="1">
      <alignment horizontal="center"/>
      <protection locked="0"/>
    </xf>
    <xf numFmtId="0" fontId="31" fillId="26" borderId="16" xfId="2950" applyFont="1" applyFill="1" applyBorder="1" applyAlignment="1" applyProtection="1">
      <alignment horizontal="center"/>
      <protection locked="0"/>
    </xf>
    <xf numFmtId="170" fontId="31" fillId="26" borderId="17" xfId="2950" applyNumberFormat="1" applyFont="1" applyFill="1" applyBorder="1" applyAlignment="1" applyProtection="1">
      <alignment horizontal="center"/>
      <protection locked="0"/>
    </xf>
    <xf numFmtId="0" fontId="31" fillId="26" borderId="18" xfId="2950" applyFont="1" applyFill="1" applyBorder="1" applyProtection="1">
      <protection locked="0"/>
    </xf>
    <xf numFmtId="0" fontId="31" fillId="26" borderId="26" xfId="2950" applyFont="1" applyFill="1" applyBorder="1" applyAlignment="1" applyProtection="1">
      <alignment horizontal="centerContinuous"/>
      <protection locked="0"/>
    </xf>
    <xf numFmtId="0" fontId="31" fillId="0" borderId="0" xfId="2950" applyFont="1" applyProtection="1">
      <protection locked="0"/>
    </xf>
    <xf numFmtId="0" fontId="31" fillId="0" borderId="0" xfId="2950" applyFont="1"/>
    <xf numFmtId="3" fontId="31" fillId="0" borderId="24" xfId="1513" applyFont="1" applyFill="1" applyBorder="1" applyProtection="1">
      <protection locked="0"/>
    </xf>
    <xf numFmtId="3" fontId="31" fillId="0" borderId="25" xfId="1513" applyFont="1" applyFill="1" applyBorder="1" applyProtection="1">
      <protection locked="0"/>
    </xf>
    <xf numFmtId="3" fontId="31" fillId="0" borderId="15" xfId="1513" applyFont="1" applyFill="1" applyBorder="1" applyProtection="1">
      <protection locked="0"/>
    </xf>
    <xf numFmtId="0" fontId="31" fillId="0" borderId="23" xfId="2950" applyFont="1" applyFill="1" applyBorder="1" applyAlignment="1" applyProtection="1">
      <alignment horizontal="left" indent="3"/>
      <protection locked="0"/>
    </xf>
    <xf numFmtId="170" fontId="31" fillId="0" borderId="0" xfId="2950" applyNumberFormat="1" applyFont="1" applyAlignment="1" applyProtection="1">
      <alignment horizontal="center"/>
      <protection locked="0"/>
    </xf>
    <xf numFmtId="0" fontId="35" fillId="0" borderId="0" xfId="2950" applyFont="1" applyBorder="1" applyProtection="1">
      <protection locked="0"/>
    </xf>
    <xf numFmtId="3" fontId="31" fillId="0" borderId="13" xfId="1513" applyFont="1" applyFill="1" applyBorder="1" applyProtection="1">
      <protection locked="0"/>
    </xf>
    <xf numFmtId="3" fontId="31" fillId="0" borderId="0" xfId="1513" applyFont="1" applyFill="1" applyBorder="1" applyProtection="1">
      <protection locked="0"/>
    </xf>
    <xf numFmtId="3" fontId="31" fillId="0" borderId="16" xfId="1513" applyFont="1" applyFill="1" applyBorder="1" applyProtection="1">
      <protection locked="0"/>
    </xf>
    <xf numFmtId="0" fontId="31" fillId="0" borderId="23" xfId="2950" applyFont="1" applyFill="1" applyBorder="1" applyAlignment="1" applyProtection="1">
      <alignment horizontal="right"/>
      <protection locked="0"/>
    </xf>
    <xf numFmtId="3" fontId="31" fillId="0" borderId="0" xfId="1513" applyFont="1" applyBorder="1" applyProtection="1">
      <protection locked="0"/>
    </xf>
    <xf numFmtId="37" fontId="193" fillId="0" borderId="13" xfId="2264" applyNumberFormat="1" applyFont="1" applyFill="1" applyBorder="1" applyProtection="1">
      <protection locked="0"/>
    </xf>
    <xf numFmtId="37" fontId="193" fillId="0" borderId="0" xfId="2264" applyNumberFormat="1" applyFont="1" applyFill="1" applyBorder="1" applyProtection="1">
      <protection locked="0"/>
    </xf>
    <xf numFmtId="37" fontId="193" fillId="0" borderId="16" xfId="2264" applyNumberFormat="1" applyFont="1" applyFill="1" applyBorder="1" applyProtection="1">
      <protection locked="0"/>
    </xf>
    <xf numFmtId="168" fontId="193" fillId="0" borderId="23" xfId="5170" applyNumberFormat="1" applyFont="1" applyFill="1" applyBorder="1" applyAlignment="1" applyProtection="1">
      <alignment horizontal="right"/>
      <protection locked="0"/>
    </xf>
    <xf numFmtId="37" fontId="193" fillId="0" borderId="17" xfId="2264" applyNumberFormat="1" applyFont="1" applyFill="1" applyBorder="1" applyProtection="1">
      <protection locked="0"/>
    </xf>
    <xf numFmtId="37" fontId="193" fillId="0" borderId="18" xfId="2264" applyNumberFormat="1" applyFont="1" applyFill="1" applyBorder="1" applyProtection="1">
      <protection locked="0"/>
    </xf>
    <xf numFmtId="37" fontId="193" fillId="0" borderId="20" xfId="2264" applyNumberFormat="1" applyFont="1" applyFill="1" applyBorder="1" applyProtection="1">
      <protection locked="0"/>
    </xf>
    <xf numFmtId="0" fontId="194" fillId="0" borderId="0" xfId="2950" applyFont="1" applyBorder="1" applyProtection="1">
      <protection locked="0"/>
    </xf>
    <xf numFmtId="37" fontId="193" fillId="27" borderId="49" xfId="1513" applyNumberFormat="1" applyFont="1" applyFill="1" applyBorder="1" applyProtection="1">
      <protection locked="0"/>
    </xf>
    <xf numFmtId="37" fontId="193" fillId="27" borderId="50" xfId="1513" applyNumberFormat="1" applyFont="1" applyFill="1" applyBorder="1" applyProtection="1">
      <protection locked="0"/>
    </xf>
    <xf numFmtId="37" fontId="193" fillId="27" borderId="51" xfId="1513" applyNumberFormat="1" applyFont="1" applyFill="1" applyBorder="1" applyProtection="1">
      <protection locked="0"/>
    </xf>
    <xf numFmtId="168" fontId="193" fillId="27" borderId="27" xfId="5170" applyNumberFormat="1" applyFont="1" applyFill="1" applyBorder="1" applyAlignment="1" applyProtection="1">
      <alignment horizontal="right"/>
      <protection locked="0"/>
    </xf>
    <xf numFmtId="37" fontId="193" fillId="0" borderId="13" xfId="2950" applyNumberFormat="1" applyFont="1" applyFill="1" applyBorder="1" applyProtection="1">
      <protection locked="0"/>
    </xf>
    <xf numFmtId="37" fontId="193" fillId="0" borderId="0" xfId="2950" applyNumberFormat="1" applyFont="1" applyFill="1" applyBorder="1" applyProtection="1">
      <protection locked="0"/>
    </xf>
    <xf numFmtId="37" fontId="193" fillId="0" borderId="16" xfId="2950" applyNumberFormat="1" applyFont="1" applyFill="1" applyBorder="1" applyProtection="1">
      <protection locked="0"/>
    </xf>
    <xf numFmtId="168" fontId="193" fillId="0" borderId="23" xfId="2950" applyNumberFormat="1" applyFont="1" applyFill="1" applyBorder="1" applyAlignment="1" applyProtection="1">
      <alignment horizontal="right"/>
      <protection locked="0"/>
    </xf>
    <xf numFmtId="37" fontId="193" fillId="27" borderId="18" xfId="1513" applyNumberFormat="1" applyFont="1" applyFill="1" applyBorder="1" applyProtection="1">
      <protection locked="0"/>
    </xf>
    <xf numFmtId="37" fontId="193" fillId="28" borderId="17" xfId="1513" applyNumberFormat="1" applyFont="1" applyFill="1" applyBorder="1" applyProtection="1">
      <protection locked="0"/>
    </xf>
    <xf numFmtId="37" fontId="193" fillId="28" borderId="18" xfId="1513" applyNumberFormat="1" applyFont="1" applyFill="1" applyBorder="1" applyProtection="1">
      <protection locked="0"/>
    </xf>
    <xf numFmtId="37" fontId="193" fillId="28" borderId="51" xfId="1513" applyNumberFormat="1" applyFont="1" applyFill="1" applyBorder="1" applyProtection="1">
      <protection locked="0"/>
    </xf>
    <xf numFmtId="168" fontId="193" fillId="29" borderId="26" xfId="5170" applyNumberFormat="1" applyFont="1" applyFill="1" applyBorder="1" applyAlignment="1" applyProtection="1">
      <alignment horizontal="right"/>
      <protection locked="0"/>
    </xf>
    <xf numFmtId="37" fontId="193" fillId="28" borderId="20" xfId="1513" applyNumberFormat="1" applyFont="1" applyFill="1" applyBorder="1" applyProtection="1">
      <protection locked="0"/>
    </xf>
    <xf numFmtId="37" fontId="193" fillId="0" borderId="24" xfId="2950" applyNumberFormat="1" applyFont="1" applyFill="1" applyBorder="1" applyProtection="1">
      <protection locked="0"/>
    </xf>
    <xf numFmtId="37" fontId="193" fillId="0" borderId="25" xfId="2950" applyNumberFormat="1" applyFont="1" applyFill="1" applyBorder="1" applyProtection="1">
      <protection locked="0"/>
    </xf>
    <xf numFmtId="37" fontId="193" fillId="0" borderId="15" xfId="2950" applyNumberFormat="1" applyFont="1" applyFill="1" applyBorder="1" applyProtection="1">
      <protection locked="0"/>
    </xf>
    <xf numFmtId="37" fontId="193" fillId="0" borderId="13" xfId="1513" applyNumberFormat="1" applyFont="1" applyFill="1" applyBorder="1" applyProtection="1">
      <protection locked="0"/>
    </xf>
    <xf numFmtId="37" fontId="193" fillId="0" borderId="0" xfId="1513" applyNumberFormat="1" applyFont="1" applyFill="1" applyBorder="1" applyProtection="1">
      <protection locked="0"/>
    </xf>
    <xf numFmtId="37" fontId="193" fillId="0" borderId="16" xfId="1513" applyNumberFormat="1" applyFont="1" applyFill="1" applyBorder="1" applyProtection="1">
      <protection locked="0"/>
    </xf>
    <xf numFmtId="168" fontId="193" fillId="0" borderId="26" xfId="5170" applyNumberFormat="1" applyFont="1" applyFill="1" applyBorder="1" applyAlignment="1" applyProtection="1">
      <alignment horizontal="right"/>
      <protection locked="0"/>
    </xf>
    <xf numFmtId="3" fontId="194" fillId="0" borderId="0" xfId="1513" applyFont="1" applyFill="1" applyBorder="1" applyProtection="1">
      <protection locked="0"/>
    </xf>
    <xf numFmtId="168" fontId="31" fillId="0" borderId="14" xfId="2950" applyNumberFormat="1" applyFont="1" applyFill="1" applyBorder="1" applyAlignment="1" applyProtection="1">
      <alignment horizontal="right"/>
      <protection locked="0"/>
    </xf>
    <xf numFmtId="168" fontId="31" fillId="0" borderId="23" xfId="2950" applyNumberFormat="1" applyFont="1" applyFill="1" applyBorder="1" applyAlignment="1" applyProtection="1">
      <alignment horizontal="right"/>
      <protection locked="0"/>
    </xf>
    <xf numFmtId="37" fontId="193" fillId="27" borderId="21" xfId="1513" applyNumberFormat="1" applyFont="1" applyFill="1" applyBorder="1" applyProtection="1">
      <protection locked="0"/>
    </xf>
    <xf numFmtId="37" fontId="193" fillId="27" borderId="22" xfId="1513" applyNumberFormat="1" applyFont="1" applyFill="1" applyBorder="1" applyProtection="1">
      <protection locked="0"/>
    </xf>
    <xf numFmtId="37" fontId="193" fillId="27" borderId="60" xfId="1513" applyNumberFormat="1" applyFont="1" applyFill="1" applyBorder="1" applyProtection="1">
      <protection locked="0"/>
    </xf>
    <xf numFmtId="170" fontId="31" fillId="0" borderId="0" xfId="2950" applyNumberFormat="1" applyFont="1" applyAlignment="1" applyProtection="1">
      <alignment horizontal="center" vertical="top"/>
      <protection locked="0"/>
    </xf>
    <xf numFmtId="0" fontId="194" fillId="0" borderId="0" xfId="2950" applyFont="1" applyBorder="1" applyAlignment="1" applyProtection="1">
      <alignment vertical="top" wrapText="1"/>
      <protection locked="0"/>
    </xf>
    <xf numFmtId="37" fontId="193" fillId="28" borderId="49" xfId="1513" applyNumberFormat="1" applyFont="1" applyFill="1" applyBorder="1" applyAlignment="1" applyProtection="1">
      <alignment horizontal="right"/>
      <protection locked="0"/>
    </xf>
    <xf numFmtId="168" fontId="193" fillId="28" borderId="27" xfId="1513" applyNumberFormat="1" applyFont="1" applyFill="1" applyBorder="1" applyAlignment="1" applyProtection="1">
      <alignment horizontal="right"/>
      <protection locked="0"/>
    </xf>
    <xf numFmtId="37" fontId="193" fillId="28" borderId="50" xfId="1513" applyNumberFormat="1" applyFont="1" applyFill="1" applyBorder="1" applyAlignment="1" applyProtection="1">
      <alignment horizontal="right"/>
      <protection locked="0"/>
    </xf>
    <xf numFmtId="37" fontId="193" fillId="28" borderId="51" xfId="1513" applyNumberFormat="1" applyFont="1" applyFill="1" applyBorder="1" applyAlignment="1" applyProtection="1">
      <alignment horizontal="right"/>
      <protection locked="0"/>
    </xf>
    <xf numFmtId="168" fontId="193" fillId="0" borderId="23" xfId="3154" applyNumberFormat="1" applyFont="1" applyFill="1" applyBorder="1" applyAlignment="1" applyProtection="1">
      <alignment horizontal="right"/>
      <protection locked="0"/>
    </xf>
    <xf numFmtId="0" fontId="31" fillId="0" borderId="0" xfId="2950" applyFont="1" applyAlignment="1" applyProtection="1">
      <alignment wrapText="1"/>
      <protection locked="0"/>
    </xf>
    <xf numFmtId="37" fontId="193" fillId="0" borderId="18" xfId="1513" applyNumberFormat="1" applyFont="1" applyFill="1" applyBorder="1" applyProtection="1">
      <protection locked="0"/>
    </xf>
    <xf numFmtId="37" fontId="193" fillId="0" borderId="20" xfId="1513" applyNumberFormat="1" applyFont="1" applyFill="1" applyBorder="1" applyProtection="1">
      <protection locked="0"/>
    </xf>
    <xf numFmtId="168" fontId="193" fillId="0" borderId="26" xfId="6340" applyNumberFormat="1" applyFont="1" applyFill="1" applyBorder="1" applyAlignment="1" applyProtection="1">
      <alignment horizontal="right"/>
      <protection locked="0"/>
    </xf>
    <xf numFmtId="171" fontId="194" fillId="0" borderId="0" xfId="2264" applyFont="1" applyBorder="1" applyProtection="1">
      <protection locked="0"/>
    </xf>
    <xf numFmtId="37" fontId="193" fillId="27" borderId="50" xfId="1513" applyNumberFormat="1" applyFont="1" applyFill="1" applyBorder="1" applyProtection="1"/>
    <xf numFmtId="37" fontId="193" fillId="86" borderId="51" xfId="1513" applyNumberFormat="1" applyFont="1" applyFill="1" applyBorder="1" applyProtection="1">
      <protection locked="0"/>
    </xf>
    <xf numFmtId="168" fontId="193" fillId="27" borderId="27" xfId="6340" applyNumberFormat="1" applyFont="1" applyFill="1" applyBorder="1" applyAlignment="1" applyProtection="1">
      <alignment horizontal="right"/>
      <protection locked="0"/>
    </xf>
    <xf numFmtId="0" fontId="31" fillId="0" borderId="0" xfId="2264" applyNumberFormat="1" applyFont="1" applyBorder="1" applyProtection="1">
      <protection locked="0"/>
    </xf>
    <xf numFmtId="168" fontId="193" fillId="0" borderId="23" xfId="2264" applyNumberFormat="1" applyFont="1" applyFill="1" applyBorder="1" applyAlignment="1" applyProtection="1">
      <alignment horizontal="right"/>
      <protection locked="0"/>
    </xf>
    <xf numFmtId="37" fontId="193" fillId="0" borderId="49" xfId="2264" applyNumberFormat="1" applyFont="1" applyFill="1" applyBorder="1" applyProtection="1">
      <protection locked="0"/>
    </xf>
    <xf numFmtId="37" fontId="193" fillId="0" borderId="50" xfId="2264" applyNumberFormat="1" applyFont="1" applyFill="1" applyBorder="1" applyProtection="1">
      <protection locked="0"/>
    </xf>
    <xf numFmtId="37" fontId="193" fillId="0" borderId="51" xfId="2264" applyNumberFormat="1" applyFont="1" applyFill="1" applyBorder="1" applyProtection="1">
      <protection locked="0"/>
    </xf>
    <xf numFmtId="168" fontId="193" fillId="0" borderId="27" xfId="6340" applyNumberFormat="1" applyFont="1" applyFill="1" applyBorder="1" applyAlignment="1" applyProtection="1">
      <alignment horizontal="right"/>
      <protection locked="0"/>
    </xf>
    <xf numFmtId="0" fontId="35" fillId="0" borderId="16" xfId="2950" applyFont="1" applyBorder="1" applyProtection="1">
      <protection locked="0"/>
    </xf>
    <xf numFmtId="0" fontId="31" fillId="0" borderId="16" xfId="2950" applyFont="1" applyBorder="1" applyProtection="1">
      <protection locked="0"/>
    </xf>
    <xf numFmtId="168" fontId="193" fillId="0" borderId="23" xfId="6340" applyNumberFormat="1" applyFont="1" applyFill="1" applyBorder="1" applyAlignment="1" applyProtection="1">
      <alignment horizontal="right"/>
      <protection locked="0"/>
    </xf>
    <xf numFmtId="0" fontId="194" fillId="0" borderId="16" xfId="2950" applyFont="1" applyBorder="1" applyProtection="1">
      <protection locked="0"/>
    </xf>
    <xf numFmtId="0" fontId="194" fillId="0" borderId="0" xfId="2950" applyFont="1" applyBorder="1" applyAlignment="1" applyProtection="1">
      <alignment wrapText="1"/>
      <protection locked="0"/>
    </xf>
    <xf numFmtId="168" fontId="193" fillId="28" borderId="26" xfId="1513" applyNumberFormat="1" applyFont="1" applyFill="1" applyBorder="1" applyAlignment="1" applyProtection="1">
      <alignment horizontal="right"/>
      <protection locked="0"/>
    </xf>
    <xf numFmtId="0" fontId="35" fillId="0" borderId="0" xfId="2950" applyFont="1" applyProtection="1">
      <protection locked="0"/>
    </xf>
    <xf numFmtId="37" fontId="193" fillId="0" borderId="17" xfId="1513" applyNumberFormat="1" applyFont="1" applyFill="1" applyBorder="1" applyProtection="1">
      <protection locked="0"/>
    </xf>
    <xf numFmtId="37" fontId="193" fillId="0" borderId="49" xfId="1513" applyNumberFormat="1" applyFont="1" applyFill="1" applyBorder="1" applyProtection="1">
      <protection locked="0"/>
    </xf>
    <xf numFmtId="37" fontId="193" fillId="0" borderId="50" xfId="1513" applyNumberFormat="1" applyFont="1" applyFill="1" applyBorder="1" applyProtection="1">
      <protection locked="0"/>
    </xf>
    <xf numFmtId="37" fontId="193" fillId="0" borderId="51" xfId="1513" applyNumberFormat="1" applyFont="1" applyFill="1" applyBorder="1" applyProtection="1">
      <protection locked="0"/>
    </xf>
    <xf numFmtId="168" fontId="193" fillId="29" borderId="26" xfId="6340" applyNumberFormat="1" applyFont="1" applyFill="1" applyBorder="1" applyAlignment="1" applyProtection="1">
      <alignment horizontal="right"/>
      <protection locked="0"/>
    </xf>
    <xf numFmtId="168" fontId="193" fillId="0" borderId="14" xfId="3154" applyNumberFormat="1" applyFont="1" applyFill="1" applyBorder="1" applyAlignment="1" applyProtection="1">
      <alignment horizontal="right"/>
      <protection locked="0"/>
    </xf>
    <xf numFmtId="37" fontId="193" fillId="0" borderId="17" xfId="2950" applyNumberFormat="1" applyFont="1" applyFill="1" applyBorder="1" applyProtection="1">
      <protection locked="0"/>
    </xf>
    <xf numFmtId="37" fontId="193" fillId="0" borderId="18" xfId="2950" applyNumberFormat="1" applyFont="1" applyFill="1" applyBorder="1" applyProtection="1">
      <protection locked="0"/>
    </xf>
    <xf numFmtId="37" fontId="193" fillId="0" borderId="20" xfId="2950" applyNumberFormat="1" applyFont="1" applyFill="1" applyBorder="1" applyProtection="1">
      <protection locked="0"/>
    </xf>
    <xf numFmtId="37" fontId="193" fillId="28" borderId="29" xfId="2264" applyNumberFormat="1" applyFont="1" applyFill="1" applyBorder="1" applyProtection="1">
      <protection locked="0"/>
    </xf>
    <xf numFmtId="37" fontId="193" fillId="28" borderId="30" xfId="2264" applyNumberFormat="1" applyFont="1" applyFill="1" applyBorder="1" applyProtection="1">
      <protection locked="0"/>
    </xf>
    <xf numFmtId="168" fontId="193" fillId="29" borderId="61" xfId="6340" applyNumberFormat="1" applyFont="1" applyFill="1" applyBorder="1" applyAlignment="1" applyProtection="1">
      <alignment horizontal="right"/>
      <protection locked="0"/>
    </xf>
    <xf numFmtId="37" fontId="193" fillId="28" borderId="31" xfId="2264" applyNumberFormat="1" applyFont="1" applyFill="1" applyBorder="1" applyProtection="1">
      <protection locked="0"/>
    </xf>
    <xf numFmtId="0" fontId="34" fillId="0" borderId="0" xfId="0" applyFont="1" applyBorder="1" applyAlignment="1" applyProtection="1">
      <alignment horizontal="centerContinuous" vertical="center"/>
      <protection locked="0"/>
    </xf>
    <xf numFmtId="0" fontId="0" fillId="0" borderId="0" xfId="0" applyAlignment="1" applyProtection="1">
      <alignment horizontal="centerContinuous"/>
      <protection locked="0"/>
    </xf>
    <xf numFmtId="38" fontId="28" fillId="0" borderId="0" xfId="0" applyNumberFormat="1" applyFont="1" applyBorder="1" applyAlignment="1" applyProtection="1">
      <alignment horizontal="centerContinuous"/>
      <protection locked="0"/>
    </xf>
    <xf numFmtId="38" fontId="28" fillId="0" borderId="0" xfId="1513" applyNumberFormat="1" applyFont="1" applyBorder="1" applyAlignment="1" applyProtection="1">
      <alignment horizontal="centerContinuous"/>
      <protection locked="0"/>
    </xf>
    <xf numFmtId="10" fontId="28" fillId="0" borderId="0" xfId="21992" applyNumberFormat="1" applyFont="1" applyBorder="1" applyAlignment="1" applyProtection="1">
      <alignment horizontal="centerContinuous"/>
      <protection locked="0"/>
    </xf>
    <xf numFmtId="0" fontId="0" fillId="0" borderId="0" xfId="0" applyFont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28" fillId="0" borderId="0" xfId="0" applyFont="1" applyBorder="1" applyAlignment="1" applyProtection="1">
      <alignment horizontal="centerContinuous" vertical="center"/>
      <protection locked="0"/>
    </xf>
    <xf numFmtId="0" fontId="31" fillId="0" borderId="0" xfId="0" applyFont="1" applyAlignment="1" applyProtection="1">
      <alignment horizontal="centerContinuous"/>
      <protection locked="0"/>
    </xf>
    <xf numFmtId="38" fontId="0" fillId="0" borderId="0" xfId="0" applyNumberFormat="1" applyFont="1" applyAlignment="1" applyProtection="1">
      <alignment horizontal="centerContinuous"/>
      <protection locked="0"/>
    </xf>
    <xf numFmtId="38" fontId="0" fillId="0" borderId="0" xfId="1513" applyNumberFormat="1" applyFont="1" applyBorder="1" applyAlignment="1" applyProtection="1">
      <alignment horizontal="centerContinuous"/>
      <protection locked="0"/>
    </xf>
    <xf numFmtId="10" fontId="0" fillId="0" borderId="0" xfId="21992" applyNumberFormat="1" applyFont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170" fontId="0" fillId="0" borderId="0" xfId="0" applyNumberFormat="1" applyAlignment="1" applyProtection="1">
      <alignment horizontal="centerContinuous"/>
      <protection locked="0"/>
    </xf>
    <xf numFmtId="170" fontId="28" fillId="0" borderId="9" xfId="0" applyNumberFormat="1" applyFont="1" applyFill="1" applyBorder="1" applyAlignment="1" applyProtection="1">
      <alignment horizontal="center"/>
      <protection locked="0"/>
    </xf>
    <xf numFmtId="0" fontId="28" fillId="0" borderId="9" xfId="0" applyFont="1" applyFill="1" applyBorder="1" applyProtection="1">
      <protection locked="0"/>
    </xf>
    <xf numFmtId="38" fontId="29" fillId="26" borderId="49" xfId="0" applyNumberFormat="1" applyFont="1" applyFill="1" applyBorder="1" applyAlignment="1" applyProtection="1">
      <alignment horizontal="centerContinuous"/>
      <protection locked="0"/>
    </xf>
    <xf numFmtId="38" fontId="0" fillId="26" borderId="50" xfId="1513" applyNumberFormat="1" applyFont="1" applyFill="1" applyBorder="1" applyAlignment="1" applyProtection="1">
      <alignment horizontal="centerContinuous"/>
      <protection locked="0"/>
    </xf>
    <xf numFmtId="38" fontId="0" fillId="26" borderId="51" xfId="1513" applyNumberFormat="1" applyFont="1" applyFill="1" applyBorder="1" applyAlignment="1" applyProtection="1">
      <alignment horizontal="centerContinuous"/>
      <protection locked="0"/>
    </xf>
    <xf numFmtId="10" fontId="28" fillId="0" borderId="9" xfId="21992" applyNumberFormat="1" applyFont="1" applyFill="1" applyBorder="1" applyProtection="1">
      <protection locked="0"/>
    </xf>
    <xf numFmtId="0" fontId="29" fillId="26" borderId="49" xfId="0" applyFont="1" applyFill="1" applyBorder="1" applyAlignment="1" applyProtection="1">
      <alignment horizontal="centerContinuous"/>
      <protection locked="0"/>
    </xf>
    <xf numFmtId="0" fontId="30" fillId="26" borderId="50" xfId="0" applyFont="1" applyFill="1" applyBorder="1" applyAlignment="1" applyProtection="1">
      <alignment horizontal="centerContinuous"/>
      <protection locked="0"/>
    </xf>
    <xf numFmtId="0" fontId="30" fillId="26" borderId="51" xfId="0" applyFont="1" applyFill="1" applyBorder="1" applyAlignment="1" applyProtection="1">
      <alignment horizontal="centerContinuous"/>
      <protection locked="0"/>
    </xf>
    <xf numFmtId="170" fontId="0" fillId="26" borderId="13" xfId="0" applyNumberFormat="1" applyFill="1" applyBorder="1" applyAlignment="1" applyProtection="1">
      <alignment horizontal="center"/>
      <protection locked="0"/>
    </xf>
    <xf numFmtId="0" fontId="0" fillId="26" borderId="16" xfId="0" applyFill="1" applyBorder="1" applyProtection="1">
      <protection locked="0"/>
    </xf>
    <xf numFmtId="38" fontId="0" fillId="26" borderId="13" xfId="0" applyNumberFormat="1" applyFont="1" applyFill="1" applyBorder="1" applyAlignment="1" applyProtection="1">
      <alignment horizontal="center"/>
      <protection locked="0"/>
    </xf>
    <xf numFmtId="38" fontId="0" fillId="26" borderId="0" xfId="1513" applyNumberFormat="1" applyFont="1" applyFill="1" applyBorder="1" applyAlignment="1" applyProtection="1">
      <alignment horizontal="center"/>
      <protection locked="0"/>
    </xf>
    <xf numFmtId="10" fontId="0" fillId="26" borderId="13" xfId="21992" applyNumberFormat="1" applyFont="1" applyFill="1" applyBorder="1" applyAlignment="1" applyProtection="1">
      <alignment horizontal="centerContinuous"/>
      <protection locked="0"/>
    </xf>
    <xf numFmtId="0" fontId="0" fillId="26" borderId="13" xfId="0" applyFill="1" applyBorder="1" applyAlignment="1" applyProtection="1">
      <alignment horizontal="center"/>
      <protection locked="0"/>
    </xf>
    <xf numFmtId="0" fontId="0" fillId="26" borderId="0" xfId="0" applyFill="1" applyBorder="1" applyAlignment="1" applyProtection="1">
      <alignment horizontal="center"/>
      <protection locked="0"/>
    </xf>
    <xf numFmtId="0" fontId="0" fillId="26" borderId="16" xfId="0" applyFill="1" applyBorder="1" applyAlignment="1" applyProtection="1">
      <alignment horizontal="center"/>
      <protection locked="0"/>
    </xf>
    <xf numFmtId="170" fontId="0" fillId="26" borderId="17" xfId="0" applyNumberFormat="1" applyFill="1" applyBorder="1" applyAlignment="1" applyProtection="1">
      <alignment horizontal="center"/>
      <protection locked="0"/>
    </xf>
    <xf numFmtId="0" fontId="0" fillId="26" borderId="20" xfId="0" applyFill="1" applyBorder="1" applyProtection="1">
      <protection locked="0"/>
    </xf>
    <xf numFmtId="0" fontId="0" fillId="26" borderId="21" xfId="0" applyNumberFormat="1" applyFont="1" applyFill="1" applyBorder="1" applyAlignment="1" applyProtection="1">
      <alignment horizontal="center"/>
      <protection locked="0"/>
    </xf>
    <xf numFmtId="0" fontId="0" fillId="26" borderId="22" xfId="1513" applyNumberFormat="1" applyFont="1" applyFill="1" applyBorder="1" applyAlignment="1" applyProtection="1">
      <alignment horizontal="center"/>
      <protection locked="0"/>
    </xf>
    <xf numFmtId="10" fontId="0" fillId="26" borderId="17" xfId="21992" applyNumberFormat="1" applyFont="1" applyFill="1" applyBorder="1" applyAlignment="1" applyProtection="1">
      <alignment horizontal="centerContinuous"/>
      <protection locked="0"/>
    </xf>
    <xf numFmtId="170" fontId="0" fillId="0" borderId="0" xfId="0" applyNumberFormat="1" applyAlignment="1" applyProtection="1">
      <alignment horizontal="center"/>
      <protection locked="0"/>
    </xf>
    <xf numFmtId="0" fontId="28" fillId="0" borderId="0" xfId="0" applyFont="1" applyBorder="1" applyProtection="1">
      <protection locked="0"/>
    </xf>
    <xf numFmtId="38" fontId="0" fillId="0" borderId="13" xfId="0" applyNumberFormat="1" applyFill="1" applyBorder="1" applyProtection="1">
      <protection locked="0"/>
    </xf>
    <xf numFmtId="38" fontId="0" fillId="0" borderId="0" xfId="1513" applyNumberFormat="1" applyFont="1" applyFill="1" applyBorder="1" applyProtection="1">
      <protection locked="0"/>
    </xf>
    <xf numFmtId="38" fontId="0" fillId="0" borderId="16" xfId="1513" applyNumberFormat="1" applyFont="1" applyFill="1" applyBorder="1" applyProtection="1">
      <protection locked="0"/>
    </xf>
    <xf numFmtId="10" fontId="0" fillId="0" borderId="0" xfId="21992" applyNumberFormat="1" applyFont="1" applyFill="1" applyAlignment="1" applyProtection="1">
      <alignment horizontal="right"/>
      <protection locked="0"/>
    </xf>
    <xf numFmtId="3" fontId="0" fillId="0" borderId="13" xfId="1513" applyFont="1" applyFill="1" applyBorder="1" applyProtection="1">
      <protection locked="0"/>
    </xf>
    <xf numFmtId="3" fontId="0" fillId="0" borderId="0" xfId="1513" applyFont="1" applyFill="1" applyBorder="1" applyProtection="1">
      <protection locked="0"/>
    </xf>
    <xf numFmtId="3" fontId="0" fillId="0" borderId="16" xfId="1513" applyFont="1" applyFill="1" applyBorder="1" applyProtection="1">
      <protection locked="0"/>
    </xf>
    <xf numFmtId="3" fontId="0" fillId="0" borderId="0" xfId="1513" applyFont="1" applyBorder="1" applyProtection="1">
      <protection locked="0"/>
    </xf>
    <xf numFmtId="0" fontId="0" fillId="0" borderId="13" xfId="2264" applyNumberFormat="1" applyFont="1" applyFill="1" applyBorder="1" applyProtection="1">
      <protection locked="0"/>
    </xf>
    <xf numFmtId="0" fontId="0" fillId="0" borderId="0" xfId="2264" applyNumberFormat="1" applyFont="1" applyFill="1" applyBorder="1" applyProtection="1">
      <protection locked="0"/>
    </xf>
    <xf numFmtId="0" fontId="0" fillId="0" borderId="16" xfId="2264" applyNumberFormat="1" applyFont="1" applyFill="1" applyBorder="1" applyProtection="1">
      <protection locked="0"/>
    </xf>
    <xf numFmtId="10" fontId="0" fillId="0" borderId="0" xfId="21992" applyNumberFormat="1" applyFont="1" applyFill="1" applyBorder="1" applyAlignment="1" applyProtection="1">
      <alignment horizontal="right"/>
      <protection locked="0"/>
    </xf>
    <xf numFmtId="1" fontId="0" fillId="0" borderId="13" xfId="2264" applyNumberFormat="1" applyFont="1" applyFill="1" applyBorder="1" applyProtection="1">
      <protection locked="0"/>
    </xf>
    <xf numFmtId="1" fontId="0" fillId="0" borderId="0" xfId="2264" applyNumberFormat="1" applyFont="1" applyFill="1" applyBorder="1" applyProtection="1">
      <protection locked="0"/>
    </xf>
    <xf numFmtId="1" fontId="0" fillId="0" borderId="16" xfId="2264" applyNumberFormat="1" applyFont="1" applyFill="1" applyBorder="1" applyProtection="1">
      <protection locked="0"/>
    </xf>
    <xf numFmtId="3" fontId="0" fillId="0" borderId="0" xfId="1513" applyFont="1" applyProtection="1">
      <protection locked="0"/>
    </xf>
    <xf numFmtId="0" fontId="24" fillId="0" borderId="0" xfId="0" applyFont="1" applyProtection="1">
      <protection locked="0"/>
    </xf>
    <xf numFmtId="0" fontId="0" fillId="0" borderId="17" xfId="2264" applyNumberFormat="1" applyFont="1" applyFill="1" applyBorder="1" applyProtection="1">
      <protection locked="0"/>
    </xf>
    <xf numFmtId="0" fontId="0" fillId="0" borderId="18" xfId="2264" applyNumberFormat="1" applyFont="1" applyFill="1" applyBorder="1" applyProtection="1">
      <protection locked="0"/>
    </xf>
    <xf numFmtId="0" fontId="0" fillId="0" borderId="20" xfId="2264" applyNumberFormat="1" applyFont="1" applyFill="1" applyBorder="1" applyProtection="1">
      <protection locked="0"/>
    </xf>
    <xf numFmtId="10" fontId="0" fillId="0" borderId="18" xfId="21992" applyNumberFormat="1" applyFont="1" applyFill="1" applyBorder="1" applyAlignment="1" applyProtection="1">
      <alignment horizontal="right"/>
      <protection locked="0"/>
    </xf>
    <xf numFmtId="1" fontId="0" fillId="0" borderId="17" xfId="2264" applyNumberFormat="1" applyFont="1" applyFill="1" applyBorder="1" applyProtection="1">
      <protection locked="0"/>
    </xf>
    <xf numFmtId="1" fontId="0" fillId="0" borderId="18" xfId="2264" applyNumberFormat="1" applyFont="1" applyFill="1" applyBorder="1" applyProtection="1">
      <protection locked="0"/>
    </xf>
    <xf numFmtId="1" fontId="0" fillId="0" borderId="20" xfId="2264" applyNumberFormat="1" applyFont="1" applyFill="1" applyBorder="1" applyProtection="1">
      <protection locked="0"/>
    </xf>
    <xf numFmtId="170" fontId="33" fillId="0" borderId="0" xfId="0" applyNumberFormat="1" applyFont="1" applyAlignment="1" applyProtection="1">
      <alignment horizontal="center"/>
      <protection locked="0"/>
    </xf>
    <xf numFmtId="0" fontId="36" fillId="0" borderId="0" xfId="0" applyFont="1" applyBorder="1" applyProtection="1">
      <protection locked="0"/>
    </xf>
    <xf numFmtId="0" fontId="33" fillId="27" borderId="21" xfId="1513" applyNumberFormat="1" applyFont="1" applyFill="1" applyBorder="1" applyProtection="1">
      <protection locked="0"/>
    </xf>
    <xf numFmtId="0" fontId="33" fillId="27" borderId="22" xfId="1513" applyNumberFormat="1" applyFont="1" applyFill="1" applyBorder="1" applyProtection="1">
      <protection locked="0"/>
    </xf>
    <xf numFmtId="0" fontId="33" fillId="27" borderId="60" xfId="1513" applyNumberFormat="1" applyFont="1" applyFill="1" applyBorder="1" applyProtection="1">
      <protection locked="0"/>
    </xf>
    <xf numFmtId="10" fontId="0" fillId="27" borderId="18" xfId="21992" applyNumberFormat="1" applyFont="1" applyFill="1" applyBorder="1" applyAlignment="1" applyProtection="1">
      <alignment horizontal="right"/>
      <protection locked="0"/>
    </xf>
    <xf numFmtId="1" fontId="33" fillId="27" borderId="21" xfId="1513" applyNumberFormat="1" applyFont="1" applyFill="1" applyBorder="1" applyProtection="1">
      <protection locked="0"/>
    </xf>
    <xf numFmtId="1" fontId="33" fillId="27" borderId="22" xfId="1513" applyNumberFormat="1" applyFont="1" applyFill="1" applyBorder="1" applyProtection="1">
      <protection locked="0"/>
    </xf>
    <xf numFmtId="1" fontId="33" fillId="27" borderId="60" xfId="1513" applyNumberFormat="1" applyFont="1" applyFill="1" applyBorder="1" applyProtection="1">
      <protection locked="0"/>
    </xf>
    <xf numFmtId="0" fontId="33" fillId="0" borderId="0" xfId="0" applyFont="1" applyProtection="1">
      <protection locked="0"/>
    </xf>
    <xf numFmtId="0" fontId="0" fillId="0" borderId="13" xfId="0" applyNumberFormat="1" applyFill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1" fontId="0" fillId="0" borderId="0" xfId="1513" applyNumberFormat="1" applyFont="1" applyFill="1" applyBorder="1" applyProtection="1">
      <protection locked="0"/>
    </xf>
    <xf numFmtId="1" fontId="0" fillId="0" borderId="16" xfId="1513" applyNumberFormat="1" applyFont="1" applyFill="1" applyBorder="1" applyProtection="1">
      <protection locked="0"/>
    </xf>
    <xf numFmtId="3" fontId="0" fillId="0" borderId="0" xfId="1513" applyFont="1" applyFill="1" applyProtection="1">
      <protection locked="0"/>
    </xf>
    <xf numFmtId="0" fontId="32" fillId="0" borderId="0" xfId="0" applyFont="1" applyBorder="1" applyProtection="1">
      <protection locked="0"/>
    </xf>
    <xf numFmtId="0" fontId="0" fillId="27" borderId="21" xfId="1513" applyNumberFormat="1" applyFont="1" applyFill="1" applyBorder="1" applyProtection="1">
      <protection locked="0"/>
    </xf>
    <xf numFmtId="0" fontId="0" fillId="27" borderId="22" xfId="1513" applyNumberFormat="1" applyFont="1" applyFill="1" applyBorder="1" applyProtection="1">
      <protection locked="0"/>
    </xf>
    <xf numFmtId="0" fontId="0" fillId="27" borderId="60" xfId="1513" applyNumberFormat="1" applyFont="1" applyFill="1" applyBorder="1" applyProtection="1">
      <protection locked="0"/>
    </xf>
    <xf numFmtId="1" fontId="0" fillId="27" borderId="21" xfId="1513" applyNumberFormat="1" applyFont="1" applyFill="1" applyBorder="1" applyProtection="1">
      <protection locked="0"/>
    </xf>
    <xf numFmtId="1" fontId="0" fillId="27" borderId="50" xfId="1513" applyNumberFormat="1" applyFont="1" applyFill="1" applyBorder="1" applyProtection="1">
      <protection locked="0"/>
    </xf>
    <xf numFmtId="1" fontId="0" fillId="27" borderId="51" xfId="1513" applyNumberFormat="1" applyFont="1" applyFill="1" applyBorder="1" applyProtection="1">
      <protection locked="0"/>
    </xf>
    <xf numFmtId="0" fontId="33" fillId="28" borderId="21" xfId="1513" applyNumberFormat="1" applyFont="1" applyFill="1" applyBorder="1" applyProtection="1">
      <protection locked="0"/>
    </xf>
    <xf numFmtId="0" fontId="33" fillId="28" borderId="22" xfId="1513" applyNumberFormat="1" applyFont="1" applyFill="1" applyBorder="1" applyProtection="1">
      <protection locked="0"/>
    </xf>
    <xf numFmtId="0" fontId="33" fillId="28" borderId="60" xfId="1513" applyNumberFormat="1" applyFont="1" applyFill="1" applyBorder="1" applyProtection="1">
      <protection locked="0"/>
    </xf>
    <xf numFmtId="10" fontId="33" fillId="28" borderId="18" xfId="21992" applyNumberFormat="1" applyFont="1" applyFill="1" applyBorder="1" applyAlignment="1" applyProtection="1">
      <alignment horizontal="right"/>
      <protection locked="0"/>
    </xf>
    <xf numFmtId="1" fontId="33" fillId="28" borderId="21" xfId="1513" applyNumberFormat="1" applyFont="1" applyFill="1" applyBorder="1" applyProtection="1">
      <protection locked="0"/>
    </xf>
    <xf numFmtId="1" fontId="33" fillId="28" borderId="0" xfId="1513" applyNumberFormat="1" applyFont="1" applyFill="1" applyBorder="1" applyProtection="1">
      <protection locked="0"/>
    </xf>
    <xf numFmtId="1" fontId="33" fillId="28" borderId="16" xfId="1513" applyNumberFormat="1" applyFont="1" applyFill="1" applyBorder="1" applyProtection="1">
      <protection locked="0"/>
    </xf>
    <xf numFmtId="1" fontId="0" fillId="0" borderId="25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1" fontId="0" fillId="0" borderId="18" xfId="1513" applyNumberFormat="1" applyFont="1" applyFill="1" applyBorder="1" applyProtection="1">
      <protection locked="0"/>
    </xf>
    <xf numFmtId="1" fontId="0" fillId="0" borderId="20" xfId="1513" applyNumberFormat="1" applyFont="1" applyFill="1" applyBorder="1" applyProtection="1">
      <protection locked="0"/>
    </xf>
    <xf numFmtId="1" fontId="33" fillId="28" borderId="50" xfId="1513" applyNumberFormat="1" applyFont="1" applyFill="1" applyBorder="1" applyProtection="1">
      <protection locked="0"/>
    </xf>
    <xf numFmtId="1" fontId="33" fillId="28" borderId="51" xfId="1513" applyNumberFormat="1" applyFont="1" applyFill="1" applyBorder="1" applyProtection="1">
      <protection locked="0"/>
    </xf>
    <xf numFmtId="0" fontId="0" fillId="27" borderId="17" xfId="1513" applyNumberFormat="1" applyFont="1" applyFill="1" applyBorder="1" applyProtection="1">
      <protection locked="0"/>
    </xf>
    <xf numFmtId="0" fontId="0" fillId="27" borderId="18" xfId="1513" applyNumberFormat="1" applyFont="1" applyFill="1" applyBorder="1" applyProtection="1">
      <protection locked="0"/>
    </xf>
    <xf numFmtId="0" fontId="0" fillId="27" borderId="20" xfId="1513" applyNumberFormat="1" applyFont="1" applyFill="1" applyBorder="1" applyProtection="1">
      <protection locked="0"/>
    </xf>
    <xf numFmtId="1" fontId="0" fillId="27" borderId="17" xfId="1513" applyNumberFormat="1" applyFont="1" applyFill="1" applyBorder="1" applyProtection="1">
      <protection locked="0"/>
    </xf>
    <xf numFmtId="1" fontId="0" fillId="27" borderId="22" xfId="1513" applyNumberFormat="1" applyFont="1" applyFill="1" applyBorder="1" applyProtection="1">
      <protection locked="0"/>
    </xf>
    <xf numFmtId="1" fontId="0" fillId="27" borderId="60" xfId="1513" applyNumberFormat="1" applyFont="1" applyFill="1" applyBorder="1" applyProtection="1">
      <protection locked="0"/>
    </xf>
    <xf numFmtId="1" fontId="33" fillId="28" borderId="22" xfId="1513" applyNumberFormat="1" applyFont="1" applyFill="1" applyBorder="1" applyProtection="1">
      <protection locked="0"/>
    </xf>
    <xf numFmtId="1" fontId="33" fillId="28" borderId="60" xfId="1513" applyNumberFormat="1" applyFont="1" applyFill="1" applyBorder="1" applyProtection="1">
      <protection locked="0"/>
    </xf>
    <xf numFmtId="170" fontId="33" fillId="0" borderId="0" xfId="0" applyNumberFormat="1" applyFont="1" applyAlignment="1" applyProtection="1">
      <alignment horizontal="center" vertical="top"/>
      <protection locked="0"/>
    </xf>
    <xf numFmtId="0" fontId="36" fillId="0" borderId="0" xfId="0" applyFont="1" applyBorder="1" applyAlignment="1" applyProtection="1">
      <alignment vertical="top" wrapText="1"/>
      <protection locked="0"/>
    </xf>
    <xf numFmtId="0" fontId="33" fillId="28" borderId="75" xfId="1513" applyNumberFormat="1" applyFont="1" applyFill="1" applyBorder="1" applyAlignment="1" applyProtection="1">
      <alignment horizontal="right"/>
      <protection locked="0"/>
    </xf>
    <xf numFmtId="0" fontId="33" fillId="28" borderId="9" xfId="1513" applyNumberFormat="1" applyFont="1" applyFill="1" applyBorder="1" applyAlignment="1" applyProtection="1">
      <alignment horizontal="right"/>
      <protection locked="0"/>
    </xf>
    <xf numFmtId="0" fontId="33" fillId="28" borderId="28" xfId="1513" applyNumberFormat="1" applyFont="1" applyFill="1" applyBorder="1" applyAlignment="1" applyProtection="1">
      <alignment horizontal="right"/>
      <protection locked="0"/>
    </xf>
    <xf numFmtId="10" fontId="33" fillId="28" borderId="75" xfId="21992" applyNumberFormat="1" applyFont="1" applyFill="1" applyBorder="1" applyAlignment="1" applyProtection="1">
      <alignment horizontal="right"/>
      <protection locked="0"/>
    </xf>
    <xf numFmtId="1" fontId="33" fillId="28" borderId="75" xfId="1513" applyNumberFormat="1" applyFont="1" applyFill="1" applyBorder="1" applyAlignment="1" applyProtection="1">
      <alignment horizontal="right"/>
      <protection locked="0"/>
    </xf>
    <xf numFmtId="1" fontId="33" fillId="28" borderId="9" xfId="1513" applyNumberFormat="1" applyFont="1" applyFill="1" applyBorder="1" applyAlignment="1" applyProtection="1">
      <alignment horizontal="right"/>
      <protection locked="0"/>
    </xf>
    <xf numFmtId="1" fontId="33" fillId="28" borderId="28" xfId="1513" applyNumberFormat="1" applyFont="1" applyFill="1" applyBorder="1" applyAlignment="1" applyProtection="1">
      <alignment horizontal="right"/>
      <protection locked="0"/>
    </xf>
    <xf numFmtId="0" fontId="33" fillId="0" borderId="0" xfId="0" applyFont="1" applyAlignment="1" applyProtection="1">
      <alignment wrapText="1"/>
      <protection locked="0"/>
    </xf>
    <xf numFmtId="0" fontId="33" fillId="0" borderId="17" xfId="2264" applyNumberFormat="1" applyFont="1" applyFill="1" applyBorder="1" applyProtection="1">
      <protection locked="0"/>
    </xf>
    <xf numFmtId="0" fontId="33" fillId="0" borderId="18" xfId="2264" applyNumberFormat="1" applyFont="1" applyFill="1" applyBorder="1" applyProtection="1">
      <protection locked="0"/>
    </xf>
    <xf numFmtId="0" fontId="33" fillId="0" borderId="20" xfId="2264" applyNumberFormat="1" applyFont="1" applyFill="1" applyBorder="1" applyProtection="1">
      <protection locked="0"/>
    </xf>
    <xf numFmtId="10" fontId="33" fillId="0" borderId="18" xfId="21992" applyNumberFormat="1" applyFont="1" applyFill="1" applyBorder="1" applyAlignment="1" applyProtection="1">
      <alignment horizontal="right"/>
      <protection locked="0"/>
    </xf>
    <xf numFmtId="1" fontId="33" fillId="0" borderId="17" xfId="2264" applyNumberFormat="1" applyFont="1" applyFill="1" applyBorder="1" applyProtection="1">
      <protection locked="0"/>
    </xf>
    <xf numFmtId="1" fontId="33" fillId="0" borderId="22" xfId="1513" applyNumberFormat="1" applyFont="1" applyFill="1" applyBorder="1" applyProtection="1">
      <protection locked="0"/>
    </xf>
    <xf numFmtId="1" fontId="33" fillId="0" borderId="60" xfId="1513" applyNumberFormat="1" applyFont="1" applyFill="1" applyBorder="1" applyProtection="1">
      <protection locked="0"/>
    </xf>
    <xf numFmtId="10" fontId="33" fillId="27" borderId="18" xfId="21992" applyNumberFormat="1" applyFont="1" applyFill="1" applyBorder="1" applyAlignment="1" applyProtection="1">
      <alignment horizontal="right"/>
      <protection locked="0"/>
    </xf>
    <xf numFmtId="0" fontId="0" fillId="0" borderId="0" xfId="2264" applyNumberFormat="1" applyFont="1" applyBorder="1" applyProtection="1">
      <protection locked="0"/>
    </xf>
    <xf numFmtId="0" fontId="0" fillId="0" borderId="0" xfId="2264" applyNumberFormat="1" applyFont="1" applyProtection="1">
      <protection locked="0"/>
    </xf>
    <xf numFmtId="0" fontId="33" fillId="0" borderId="21" xfId="1513" applyNumberFormat="1" applyFont="1" applyFill="1" applyBorder="1" applyProtection="1">
      <protection locked="0"/>
    </xf>
    <xf numFmtId="0" fontId="33" fillId="0" borderId="22" xfId="1513" applyNumberFormat="1" applyFont="1" applyFill="1" applyBorder="1" applyProtection="1">
      <protection locked="0"/>
    </xf>
    <xf numFmtId="0" fontId="33" fillId="0" borderId="60" xfId="1513" applyNumberFormat="1" applyFont="1" applyFill="1" applyBorder="1" applyProtection="1">
      <protection locked="0"/>
    </xf>
    <xf numFmtId="10" fontId="33" fillId="0" borderId="0" xfId="21992" applyNumberFormat="1" applyFont="1" applyFill="1" applyBorder="1" applyAlignment="1" applyProtection="1">
      <alignment horizontal="right"/>
      <protection locked="0"/>
    </xf>
    <xf numFmtId="1" fontId="33" fillId="0" borderId="21" xfId="1513" applyNumberFormat="1" applyFont="1" applyFill="1" applyBorder="1" applyProtection="1">
      <protection locked="0"/>
    </xf>
    <xf numFmtId="1" fontId="33" fillId="0" borderId="0" xfId="1513" applyNumberFormat="1" applyFont="1" applyFill="1" applyBorder="1" applyProtection="1">
      <protection locked="0"/>
    </xf>
    <xf numFmtId="1" fontId="33" fillId="0" borderId="16" xfId="1513" applyNumberFormat="1" applyFont="1" applyFill="1" applyBorder="1" applyProtection="1">
      <protection locked="0"/>
    </xf>
    <xf numFmtId="10" fontId="0" fillId="0" borderId="14" xfId="21992" applyNumberFormat="1" applyFont="1" applyFill="1" applyBorder="1" applyAlignment="1" applyProtection="1">
      <alignment horizontal="right"/>
      <protection locked="0"/>
    </xf>
    <xf numFmtId="0" fontId="28" fillId="0" borderId="16" xfId="0" applyFont="1" applyBorder="1" applyProtection="1">
      <protection locked="0"/>
    </xf>
    <xf numFmtId="10" fontId="0" fillId="0" borderId="23" xfId="21992" applyNumberFormat="1" applyFont="1" applyFill="1" applyBorder="1" applyAlignment="1" applyProtection="1">
      <alignment horizontal="right"/>
      <protection locked="0"/>
    </xf>
    <xf numFmtId="171" fontId="0" fillId="0" borderId="0" xfId="2264" applyFont="1" applyFill="1" applyProtection="1">
      <protection locked="0"/>
    </xf>
    <xf numFmtId="0" fontId="0" fillId="0" borderId="16" xfId="0" applyBorder="1" applyProtection="1">
      <protection locked="0"/>
    </xf>
    <xf numFmtId="0" fontId="36" fillId="0" borderId="16" xfId="0" applyFont="1" applyBorder="1" applyProtection="1">
      <protection locked="0"/>
    </xf>
    <xf numFmtId="10" fontId="33" fillId="0" borderId="26" xfId="21992" applyNumberFormat="1" applyFont="1" applyFill="1" applyBorder="1" applyAlignment="1" applyProtection="1">
      <alignment horizontal="right"/>
      <protection locked="0"/>
    </xf>
    <xf numFmtId="1" fontId="33" fillId="0" borderId="18" xfId="1513" applyNumberFormat="1" applyFont="1" applyFill="1" applyBorder="1" applyProtection="1">
      <protection locked="0"/>
    </xf>
    <xf numFmtId="1" fontId="33" fillId="0" borderId="20" xfId="1513" applyNumberFormat="1" applyFont="1" applyFill="1" applyBorder="1" applyProtection="1">
      <protection locked="0"/>
    </xf>
    <xf numFmtId="0" fontId="36" fillId="0" borderId="0" xfId="0" applyFont="1" applyBorder="1" applyAlignment="1" applyProtection="1">
      <alignment wrapText="1"/>
      <protection locked="0"/>
    </xf>
    <xf numFmtId="10" fontId="33" fillId="28" borderId="0" xfId="21992" applyNumberFormat="1" applyFont="1" applyFill="1" applyBorder="1" applyAlignment="1" applyProtection="1">
      <alignment horizontal="right"/>
      <protection locked="0"/>
    </xf>
    <xf numFmtId="10" fontId="0" fillId="0" borderId="24" xfId="21992" applyNumberFormat="1" applyFont="1" applyFill="1" applyBorder="1" applyAlignment="1" applyProtection="1">
      <alignment horizontal="right"/>
      <protection locked="0"/>
    </xf>
    <xf numFmtId="0" fontId="28" fillId="0" borderId="0" xfId="0" applyFont="1" applyProtection="1">
      <protection locked="0"/>
    </xf>
    <xf numFmtId="10" fontId="0" fillId="0" borderId="13" xfId="21992" applyNumberFormat="1" applyFont="1" applyFill="1" applyBorder="1" applyAlignment="1" applyProtection="1">
      <alignment horizontal="right"/>
      <protection locked="0"/>
    </xf>
    <xf numFmtId="0" fontId="0" fillId="0" borderId="13" xfId="1513" applyNumberFormat="1" applyFont="1" applyFill="1" applyBorder="1" applyProtection="1">
      <protection locked="0"/>
    </xf>
    <xf numFmtId="0" fontId="0" fillId="0" borderId="0" xfId="1513" applyNumberFormat="1" applyFont="1" applyFill="1" applyBorder="1" applyProtection="1">
      <protection locked="0"/>
    </xf>
    <xf numFmtId="10" fontId="0" fillId="0" borderId="17" xfId="21992" applyNumberFormat="1" applyFont="1" applyFill="1" applyBorder="1" applyAlignment="1" applyProtection="1">
      <alignment horizontal="right"/>
      <protection locked="0"/>
    </xf>
    <xf numFmtId="1" fontId="0" fillId="0" borderId="13" xfId="1513" applyNumberFormat="1" applyFont="1" applyFill="1" applyBorder="1" applyProtection="1">
      <protection locked="0"/>
    </xf>
    <xf numFmtId="0" fontId="0" fillId="0" borderId="16" xfId="1513" applyNumberFormat="1" applyFont="1" applyFill="1" applyBorder="1" applyProtection="1">
      <protection locked="0"/>
    </xf>
    <xf numFmtId="10" fontId="0" fillId="0" borderId="26" xfId="21992" applyNumberFormat="1" applyFont="1" applyFill="1" applyBorder="1" applyAlignment="1" applyProtection="1">
      <alignment horizontal="right"/>
      <protection locked="0"/>
    </xf>
    <xf numFmtId="0" fontId="33" fillId="27" borderId="49" xfId="1513" applyNumberFormat="1" applyFont="1" applyFill="1" applyBorder="1" applyProtection="1">
      <protection locked="0"/>
    </xf>
    <xf numFmtId="0" fontId="33" fillId="27" borderId="50" xfId="1513" applyNumberFormat="1" applyFont="1" applyFill="1" applyBorder="1" applyProtection="1">
      <protection locked="0"/>
    </xf>
    <xf numFmtId="0" fontId="33" fillId="27" borderId="51" xfId="1513" applyNumberFormat="1" applyFont="1" applyFill="1" applyBorder="1" applyProtection="1">
      <protection locked="0"/>
    </xf>
    <xf numFmtId="10" fontId="33" fillId="27" borderId="50" xfId="21992" applyNumberFormat="1" applyFont="1" applyFill="1" applyBorder="1" applyAlignment="1" applyProtection="1">
      <alignment horizontal="right"/>
      <protection locked="0"/>
    </xf>
    <xf numFmtId="1" fontId="33" fillId="27" borderId="49" xfId="1513" applyNumberFormat="1" applyFont="1" applyFill="1" applyBorder="1" applyProtection="1">
      <protection locked="0"/>
    </xf>
    <xf numFmtId="1" fontId="33" fillId="27" borderId="50" xfId="1513" applyNumberFormat="1" applyFont="1" applyFill="1" applyBorder="1" applyProtection="1">
      <protection locked="0"/>
    </xf>
    <xf numFmtId="1" fontId="33" fillId="27" borderId="51" xfId="1513" applyNumberFormat="1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3" fillId="28" borderId="29" xfId="2264" applyNumberFormat="1" applyFont="1" applyFill="1" applyBorder="1" applyProtection="1">
      <protection locked="0"/>
    </xf>
    <xf numFmtId="0" fontId="33" fillId="28" borderId="30" xfId="2264" applyNumberFormat="1" applyFont="1" applyFill="1" applyBorder="1" applyProtection="1">
      <protection locked="0"/>
    </xf>
    <xf numFmtId="0" fontId="33" fillId="28" borderId="31" xfId="2264" applyNumberFormat="1" applyFont="1" applyFill="1" applyBorder="1" applyProtection="1">
      <protection locked="0"/>
    </xf>
    <xf numFmtId="10" fontId="33" fillId="28" borderId="30" xfId="21992" applyNumberFormat="1" applyFont="1" applyFill="1" applyBorder="1" applyAlignment="1" applyProtection="1">
      <alignment horizontal="right"/>
      <protection locked="0"/>
    </xf>
    <xf numFmtId="1" fontId="33" fillId="28" borderId="29" xfId="2264" applyNumberFormat="1" applyFont="1" applyFill="1" applyBorder="1" applyProtection="1">
      <protection locked="0"/>
    </xf>
    <xf numFmtId="1" fontId="33" fillId="28" borderId="30" xfId="2264" applyNumberFormat="1" applyFont="1" applyFill="1" applyBorder="1" applyProtection="1">
      <protection locked="0"/>
    </xf>
    <xf numFmtId="1" fontId="33" fillId="28" borderId="31" xfId="2264" applyNumberFormat="1" applyFont="1" applyFill="1" applyBorder="1" applyProtection="1">
      <protection locked="0"/>
    </xf>
    <xf numFmtId="0" fontId="0" fillId="0" borderId="76" xfId="0" applyNumberFormat="1" applyBorder="1" applyProtection="1">
      <protection locked="0"/>
    </xf>
    <xf numFmtId="0" fontId="0" fillId="0" borderId="0" xfId="0" applyNumberFormat="1" applyProtection="1">
      <protection locked="0"/>
    </xf>
    <xf numFmtId="10" fontId="0" fillId="0" borderId="77" xfId="21992" applyNumberFormat="1" applyFont="1" applyBorder="1" applyProtection="1">
      <protection locked="0"/>
    </xf>
    <xf numFmtId="1" fontId="0" fillId="0" borderId="76" xfId="0" applyNumberFormat="1" applyBorder="1" applyProtection="1">
      <protection locked="0"/>
    </xf>
    <xf numFmtId="1" fontId="0" fillId="0" borderId="0" xfId="0" applyNumberFormat="1" applyProtection="1">
      <protection locked="0"/>
    </xf>
    <xf numFmtId="1" fontId="0" fillId="0" borderId="78" xfId="0" applyNumberFormat="1" applyBorder="1" applyProtection="1">
      <protection locked="0"/>
    </xf>
    <xf numFmtId="0" fontId="0" fillId="0" borderId="13" xfId="0" applyNumberFormat="1" applyBorder="1" applyProtection="1">
      <protection locked="0"/>
    </xf>
    <xf numFmtId="10" fontId="0" fillId="0" borderId="23" xfId="21992" applyNumberFormat="1" applyFont="1" applyBorder="1" applyProtection="1">
      <protection locked="0"/>
    </xf>
    <xf numFmtId="1" fontId="0" fillId="0" borderId="13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28" fillId="0" borderId="0" xfId="0" applyFont="1" applyAlignment="1" applyProtection="1">
      <alignment vertical="center"/>
      <protection locked="0"/>
    </xf>
    <xf numFmtId="191" fontId="0" fillId="0" borderId="13" xfId="1513" applyNumberFormat="1" applyFont="1" applyFill="1" applyBorder="1" applyProtection="1">
      <protection locked="0"/>
    </xf>
    <xf numFmtId="192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Border="1" applyProtection="1">
      <protection locked="0"/>
    </xf>
    <xf numFmtId="1" fontId="0" fillId="0" borderId="18" xfId="0" applyNumberFormat="1" applyBorder="1" applyProtection="1">
      <protection locked="0"/>
    </xf>
    <xf numFmtId="1" fontId="0" fillId="0" borderId="20" xfId="0" applyNumberFormat="1" applyBorder="1" applyProtection="1">
      <protection locked="0"/>
    </xf>
    <xf numFmtId="0" fontId="36" fillId="0" borderId="0" xfId="0" applyFont="1" applyProtection="1">
      <protection locked="0"/>
    </xf>
    <xf numFmtId="0" fontId="0" fillId="81" borderId="29" xfId="0" applyNumberFormat="1" applyFill="1" applyBorder="1" applyProtection="1">
      <protection locked="0"/>
    </xf>
    <xf numFmtId="0" fontId="0" fillId="81" borderId="30" xfId="0" applyNumberFormat="1" applyFill="1" applyBorder="1" applyProtection="1">
      <protection locked="0"/>
    </xf>
    <xf numFmtId="10" fontId="33" fillId="81" borderId="61" xfId="21992" applyNumberFormat="1" applyFont="1" applyFill="1" applyBorder="1" applyAlignment="1" applyProtection="1">
      <alignment horizontal="right"/>
      <protection locked="0"/>
    </xf>
    <xf numFmtId="1" fontId="0" fillId="81" borderId="29" xfId="0" applyNumberFormat="1" applyFill="1" applyBorder="1" applyProtection="1">
      <protection locked="0"/>
    </xf>
    <xf numFmtId="1" fontId="0" fillId="81" borderId="30" xfId="0" applyNumberFormat="1" applyFill="1" applyBorder="1" applyProtection="1">
      <protection locked="0"/>
    </xf>
    <xf numFmtId="1" fontId="0" fillId="81" borderId="47" xfId="0" applyNumberFormat="1" applyFill="1" applyBorder="1" applyProtection="1">
      <protection locked="0"/>
    </xf>
    <xf numFmtId="1" fontId="0" fillId="81" borderId="31" xfId="0" applyNumberFormat="1" applyFill="1" applyBorder="1" applyProtection="1">
      <protection locked="0"/>
    </xf>
    <xf numFmtId="38" fontId="0" fillId="0" borderId="0" xfId="0" applyNumberFormat="1" applyProtection="1">
      <protection locked="0"/>
    </xf>
    <xf numFmtId="38" fontId="0" fillId="0" borderId="0" xfId="1513" applyNumberFormat="1" applyFont="1" applyProtection="1">
      <protection locked="0"/>
    </xf>
    <xf numFmtId="10" fontId="0" fillId="0" borderId="0" xfId="21992" applyNumberFormat="1" applyFont="1" applyProtection="1">
      <protection locked="0"/>
    </xf>
    <xf numFmtId="0" fontId="31" fillId="0" borderId="0" xfId="0" applyFont="1" applyProtection="1">
      <protection locked="0"/>
    </xf>
    <xf numFmtId="0" fontId="168" fillId="63" borderId="0" xfId="0" applyFont="1" applyFill="1" applyBorder="1" applyAlignment="1"/>
    <xf numFmtId="5" fontId="171" fillId="63" borderId="0" xfId="0" applyNumberFormat="1" applyFont="1" applyFill="1" applyBorder="1" applyAlignment="1"/>
    <xf numFmtId="0" fontId="168" fillId="63" borderId="0" xfId="0" applyFont="1" applyFill="1" applyBorder="1"/>
    <xf numFmtId="166" fontId="57" fillId="0" borderId="80" xfId="0" applyNumberFormat="1" applyFont="1" applyFill="1" applyBorder="1" applyAlignment="1">
      <alignment horizontal="left" vertical="center"/>
    </xf>
    <xf numFmtId="5" fontId="57" fillId="0" borderId="80" xfId="0" applyNumberFormat="1" applyFont="1" applyFill="1" applyBorder="1" applyAlignment="1">
      <alignment horizontal="right" vertical="center"/>
    </xf>
    <xf numFmtId="166" fontId="57" fillId="0" borderId="79" xfId="0" applyNumberFormat="1" applyFont="1" applyFill="1" applyBorder="1" applyAlignment="1">
      <alignment horizontal="left" vertical="center"/>
    </xf>
    <xf numFmtId="5" fontId="185" fillId="0" borderId="79" xfId="0" applyNumberFormat="1" applyFont="1" applyFill="1" applyBorder="1" applyAlignment="1">
      <alignment horizontal="right" vertical="center"/>
    </xf>
    <xf numFmtId="5" fontId="185" fillId="0" borderId="80" xfId="0" applyNumberFormat="1" applyFont="1" applyFill="1" applyBorder="1" applyAlignment="1">
      <alignment horizontal="right" vertical="center"/>
    </xf>
    <xf numFmtId="5" fontId="57" fillId="0" borderId="79" xfId="0" applyNumberFormat="1" applyFont="1" applyFill="1" applyBorder="1" applyAlignment="1">
      <alignment horizontal="right" vertical="center"/>
    </xf>
    <xf numFmtId="5" fontId="184" fillId="0" borderId="82" xfId="0" applyNumberFormat="1" applyFont="1" applyFill="1" applyBorder="1" applyAlignment="1">
      <alignment horizontal="left" vertical="center" indent="6"/>
    </xf>
    <xf numFmtId="5" fontId="185" fillId="0" borderId="82" xfId="0" applyNumberFormat="1" applyFont="1" applyFill="1" applyBorder="1" applyAlignment="1">
      <alignment horizontal="right" vertical="center"/>
    </xf>
    <xf numFmtId="5" fontId="57" fillId="0" borderId="81" xfId="0" applyNumberFormat="1" applyFont="1" applyFill="1" applyBorder="1" applyAlignment="1">
      <alignment horizontal="right" vertical="center"/>
    </xf>
    <xf numFmtId="0" fontId="195" fillId="27" borderId="45" xfId="0" applyFont="1" applyFill="1" applyBorder="1" applyAlignment="1">
      <alignment horizontal="left"/>
    </xf>
    <xf numFmtId="5" fontId="171" fillId="69" borderId="0" xfId="0" applyNumberFormat="1" applyFont="1" applyFill="1" applyBorder="1" applyAlignment="1"/>
    <xf numFmtId="5" fontId="171" fillId="69" borderId="0" xfId="0" applyNumberFormat="1" applyFont="1" applyFill="1" applyBorder="1" applyAlignment="1">
      <alignment horizontal="right"/>
    </xf>
    <xf numFmtId="0" fontId="195" fillId="69" borderId="45" xfId="0" applyFont="1" applyFill="1" applyBorder="1" applyAlignment="1">
      <alignment horizontal="left"/>
    </xf>
    <xf numFmtId="0" fontId="196" fillId="69" borderId="43" xfId="0" applyFont="1" applyFill="1" applyBorder="1" applyAlignment="1">
      <alignment horizontal="left"/>
    </xf>
    <xf numFmtId="0" fontId="197" fillId="69" borderId="9" xfId="0" applyFont="1" applyFill="1" applyBorder="1" applyAlignment="1">
      <alignment horizontal="left"/>
    </xf>
    <xf numFmtId="10" fontId="196" fillId="69" borderId="9" xfId="0" applyNumberFormat="1" applyFont="1" applyFill="1" applyBorder="1" applyAlignment="1">
      <alignment horizontal="right"/>
    </xf>
    <xf numFmtId="0" fontId="167" fillId="68" borderId="0" xfId="0" applyFont="1" applyFill="1" applyBorder="1" applyAlignment="1"/>
    <xf numFmtId="5" fontId="171" fillId="68" borderId="0" xfId="0" applyNumberFormat="1" applyFont="1" applyFill="1" applyBorder="1" applyAlignment="1"/>
    <xf numFmtId="0" fontId="196" fillId="74" borderId="43" xfId="0" applyFont="1" applyFill="1" applyBorder="1" applyAlignment="1">
      <alignment horizontal="left"/>
    </xf>
    <xf numFmtId="5" fontId="198" fillId="74" borderId="9" xfId="0" applyNumberFormat="1" applyFont="1" applyFill="1" applyBorder="1" applyAlignment="1">
      <alignment horizontal="left"/>
    </xf>
    <xf numFmtId="10" fontId="196" fillId="74" borderId="9" xfId="0" applyNumberFormat="1" applyFont="1" applyFill="1" applyBorder="1" applyAlignment="1">
      <alignment horizontal="right"/>
    </xf>
    <xf numFmtId="0" fontId="195" fillId="65" borderId="45" xfId="0" applyFont="1" applyFill="1" applyBorder="1" applyAlignment="1">
      <alignment horizontal="left"/>
    </xf>
    <xf numFmtId="0" fontId="196" fillId="65" borderId="43" xfId="0" applyFont="1" applyFill="1" applyBorder="1" applyAlignment="1">
      <alignment horizontal="left"/>
    </xf>
    <xf numFmtId="0" fontId="196" fillId="65" borderId="9" xfId="0" applyFont="1" applyFill="1" applyBorder="1" applyAlignment="1">
      <alignment horizontal="left"/>
    </xf>
    <xf numFmtId="5" fontId="171" fillId="67" borderId="0" xfId="0" applyNumberFormat="1" applyFont="1" applyFill="1" applyBorder="1" applyAlignment="1">
      <alignment vertical="center"/>
    </xf>
    <xf numFmtId="0" fontId="196" fillId="85" borderId="43" xfId="0" applyFont="1" applyFill="1" applyBorder="1" applyAlignment="1">
      <alignment horizontal="left"/>
    </xf>
    <xf numFmtId="0" fontId="195" fillId="67" borderId="0" xfId="0" applyFont="1" applyFill="1" applyBorder="1" applyAlignment="1">
      <alignment horizontal="left"/>
    </xf>
    <xf numFmtId="0" fontId="197" fillId="85" borderId="9" xfId="0" applyFont="1" applyFill="1" applyBorder="1" applyAlignment="1">
      <alignment horizontal="left"/>
    </xf>
    <xf numFmtId="9" fontId="168" fillId="0" borderId="0" xfId="21992" applyNumberFormat="1" applyFont="1" applyFill="1"/>
    <xf numFmtId="168" fontId="196" fillId="85" borderId="9" xfId="0" applyNumberFormat="1" applyFont="1" applyFill="1" applyBorder="1" applyAlignment="1">
      <alignment horizontal="right"/>
    </xf>
    <xf numFmtId="168" fontId="196" fillId="65" borderId="9" xfId="0" applyNumberFormat="1" applyFont="1" applyFill="1" applyBorder="1" applyAlignment="1">
      <alignment horizontal="right"/>
    </xf>
    <xf numFmtId="0" fontId="195" fillId="62" borderId="45" xfId="0" applyFont="1" applyFill="1" applyBorder="1" applyAlignment="1">
      <alignment horizontal="left"/>
    </xf>
    <xf numFmtId="0" fontId="197" fillId="62" borderId="45" xfId="0" applyFont="1" applyFill="1" applyBorder="1" applyAlignment="1">
      <alignment horizontal="left"/>
    </xf>
    <xf numFmtId="0" fontId="196" fillId="62" borderId="43" xfId="0" applyFont="1" applyFill="1" applyBorder="1" applyAlignment="1">
      <alignment horizontal="left"/>
    </xf>
    <xf numFmtId="166" fontId="198" fillId="62" borderId="0" xfId="0" applyNumberFormat="1" applyFont="1" applyFill="1" applyBorder="1" applyAlignment="1">
      <alignment horizontal="right"/>
    </xf>
    <xf numFmtId="10" fontId="196" fillId="62" borderId="0" xfId="0" applyNumberFormat="1" applyFont="1" applyFill="1" applyBorder="1" applyAlignment="1">
      <alignment horizontal="right"/>
    </xf>
    <xf numFmtId="168" fontId="196" fillId="62" borderId="0" xfId="0" applyNumberFormat="1" applyFont="1" applyFill="1" applyBorder="1" applyAlignment="1">
      <alignment horizontal="right"/>
    </xf>
    <xf numFmtId="5" fontId="198" fillId="62" borderId="9" xfId="0" applyNumberFormat="1" applyFont="1" applyFill="1" applyBorder="1" applyAlignment="1">
      <alignment horizontal="left"/>
    </xf>
    <xf numFmtId="168" fontId="196" fillId="62" borderId="9" xfId="0" applyNumberFormat="1" applyFont="1" applyFill="1" applyBorder="1" applyAlignment="1">
      <alignment horizontal="right"/>
    </xf>
    <xf numFmtId="0" fontId="196" fillId="62" borderId="45" xfId="0" applyFont="1" applyFill="1" applyBorder="1" applyAlignment="1">
      <alignment horizontal="left"/>
    </xf>
    <xf numFmtId="10" fontId="199" fillId="62" borderId="0" xfId="0" applyNumberFormat="1" applyFont="1" applyFill="1" applyBorder="1" applyAlignment="1">
      <alignment horizontal="right"/>
    </xf>
    <xf numFmtId="0" fontId="197" fillId="62" borderId="0" xfId="0" applyFont="1" applyFill="1" applyBorder="1" applyAlignment="1">
      <alignment horizontal="left"/>
    </xf>
    <xf numFmtId="0" fontId="196" fillId="27" borderId="45" xfId="0" applyFont="1" applyFill="1" applyBorder="1" applyAlignment="1">
      <alignment horizontal="left"/>
    </xf>
    <xf numFmtId="5" fontId="198" fillId="27" borderId="0" xfId="0" applyNumberFormat="1" applyFont="1" applyFill="1" applyBorder="1" applyAlignment="1">
      <alignment horizontal="left"/>
    </xf>
    <xf numFmtId="5" fontId="197" fillId="27" borderId="0" xfId="0" applyNumberFormat="1" applyFont="1" applyFill="1" applyBorder="1" applyAlignment="1">
      <alignment horizontal="right"/>
    </xf>
    <xf numFmtId="5" fontId="200" fillId="27" borderId="0" xfId="0" applyNumberFormat="1" applyFont="1" applyFill="1" applyBorder="1" applyAlignment="1">
      <alignment horizontal="left"/>
    </xf>
    <xf numFmtId="10" fontId="196" fillId="27" borderId="0" xfId="21992" applyNumberFormat="1" applyFont="1" applyFill="1" applyBorder="1" applyAlignment="1">
      <alignment horizontal="right"/>
    </xf>
    <xf numFmtId="0" fontId="195" fillId="72" borderId="45" xfId="0" applyFont="1" applyFill="1" applyBorder="1" applyAlignment="1">
      <alignment horizontal="left"/>
    </xf>
    <xf numFmtId="0" fontId="196" fillId="72" borderId="43" xfId="0" applyFont="1" applyFill="1" applyBorder="1" applyAlignment="1">
      <alignment horizontal="left"/>
    </xf>
    <xf numFmtId="5" fontId="200" fillId="72" borderId="9" xfId="0" applyNumberFormat="1" applyFont="1" applyFill="1" applyBorder="1" applyAlignment="1">
      <alignment horizontal="left"/>
    </xf>
    <xf numFmtId="10" fontId="196" fillId="72" borderId="9" xfId="0" applyNumberFormat="1" applyFont="1" applyFill="1" applyBorder="1" applyAlignment="1">
      <alignment horizontal="right"/>
    </xf>
    <xf numFmtId="5" fontId="171" fillId="25" borderId="0" xfId="0" applyNumberFormat="1" applyFont="1" applyFill="1" applyBorder="1" applyAlignment="1">
      <alignment horizontal="left"/>
    </xf>
    <xf numFmtId="0" fontId="196" fillId="25" borderId="43" xfId="0" applyFont="1" applyFill="1" applyBorder="1" applyAlignment="1">
      <alignment horizontal="left"/>
    </xf>
    <xf numFmtId="5" fontId="200" fillId="25" borderId="9" xfId="0" applyNumberFormat="1" applyFont="1" applyFill="1" applyBorder="1" applyAlignment="1">
      <alignment horizontal="left"/>
    </xf>
    <xf numFmtId="10" fontId="196" fillId="25" borderId="9" xfId="0" applyNumberFormat="1" applyFont="1" applyFill="1" applyBorder="1" applyAlignment="1">
      <alignment horizontal="right"/>
    </xf>
    <xf numFmtId="0" fontId="167" fillId="25" borderId="0" xfId="0" applyFont="1" applyFill="1" applyBorder="1" applyAlignment="1"/>
    <xf numFmtId="0" fontId="196" fillId="78" borderId="43" xfId="0" applyFont="1" applyFill="1" applyBorder="1" applyAlignment="1">
      <alignment horizontal="left"/>
    </xf>
    <xf numFmtId="5" fontId="200" fillId="78" borderId="9" xfId="0" applyNumberFormat="1" applyFont="1" applyFill="1" applyBorder="1" applyAlignment="1">
      <alignment horizontal="left"/>
    </xf>
    <xf numFmtId="10" fontId="196" fillId="78" borderId="9" xfId="0" applyNumberFormat="1" applyFont="1" applyFill="1" applyBorder="1" applyAlignment="1">
      <alignment horizontal="right"/>
    </xf>
    <xf numFmtId="0" fontId="196" fillId="78" borderId="45" xfId="0" applyFont="1" applyFill="1" applyBorder="1" applyAlignment="1">
      <alignment horizontal="left"/>
    </xf>
    <xf numFmtId="5" fontId="200" fillId="78" borderId="0" xfId="0" applyNumberFormat="1" applyFont="1" applyFill="1" applyBorder="1" applyAlignment="1">
      <alignment horizontal="left"/>
    </xf>
    <xf numFmtId="10" fontId="196" fillId="78" borderId="0" xfId="0" applyNumberFormat="1" applyFont="1" applyFill="1" applyBorder="1" applyAlignment="1">
      <alignment horizontal="right"/>
    </xf>
    <xf numFmtId="0" fontId="195" fillId="78" borderId="45" xfId="0" applyFont="1" applyFill="1" applyBorder="1" applyAlignment="1">
      <alignment horizontal="left"/>
    </xf>
    <xf numFmtId="0" fontId="197" fillId="78" borderId="0" xfId="0" applyFont="1" applyFill="1" applyBorder="1" applyAlignment="1">
      <alignment horizontal="left"/>
    </xf>
    <xf numFmtId="0" fontId="197" fillId="78" borderId="0" xfId="0" applyFont="1" applyFill="1" applyBorder="1" applyAlignment="1">
      <alignment horizontal="right"/>
    </xf>
    <xf numFmtId="5" fontId="197" fillId="78" borderId="0" xfId="0" applyNumberFormat="1" applyFont="1" applyFill="1" applyBorder="1" applyAlignment="1">
      <alignment horizontal="right"/>
    </xf>
    <xf numFmtId="5" fontId="173" fillId="65" borderId="0" xfId="0" applyNumberFormat="1" applyFont="1" applyFill="1" applyBorder="1"/>
    <xf numFmtId="0" fontId="196" fillId="62" borderId="45" xfId="0" applyFont="1" applyFill="1" applyBorder="1"/>
    <xf numFmtId="5" fontId="198" fillId="62" borderId="0" xfId="0" applyNumberFormat="1" applyFont="1" applyFill="1" applyBorder="1"/>
    <xf numFmtId="5" fontId="196" fillId="62" borderId="0" xfId="0" applyNumberFormat="1" applyFont="1" applyFill="1" applyBorder="1" applyAlignment="1">
      <alignment horizontal="right"/>
    </xf>
    <xf numFmtId="5" fontId="200" fillId="62" borderId="0" xfId="0" applyNumberFormat="1" applyFont="1" applyFill="1" applyBorder="1"/>
    <xf numFmtId="0" fontId="197" fillId="62" borderId="0" xfId="0" applyFont="1" applyFill="1" applyBorder="1"/>
    <xf numFmtId="166" fontId="196" fillId="62" borderId="0" xfId="0" applyNumberFormat="1" applyFont="1" applyFill="1" applyBorder="1" applyAlignment="1">
      <alignment horizontal="right"/>
    </xf>
    <xf numFmtId="5" fontId="197" fillId="62" borderId="0" xfId="0" applyNumberFormat="1" applyFont="1" applyFill="1" applyBorder="1"/>
    <xf numFmtId="0" fontId="28" fillId="0" borderId="0" xfId="2950" applyFont="1" applyBorder="1" applyAlignment="1" applyProtection="1">
      <alignment vertical="center"/>
      <protection locked="0"/>
    </xf>
    <xf numFmtId="41" fontId="26" fillId="0" borderId="0" xfId="2264" applyNumberFormat="1" applyFont="1" applyFill="1" applyBorder="1" applyProtection="1">
      <protection locked="0"/>
    </xf>
    <xf numFmtId="41" fontId="26" fillId="0" borderId="0" xfId="2950" applyNumberFormat="1" applyFont="1" applyBorder="1"/>
    <xf numFmtId="41" fontId="26" fillId="0" borderId="0" xfId="2950" applyNumberFormat="1" applyFont="1" applyBorder="1" applyProtection="1">
      <protection locked="0"/>
    </xf>
    <xf numFmtId="168" fontId="26" fillId="0" borderId="0" xfId="6340" applyNumberFormat="1" applyFont="1" applyFill="1" applyBorder="1" applyAlignment="1" applyProtection="1">
      <alignment horizontal="right"/>
      <protection locked="0"/>
    </xf>
    <xf numFmtId="192" fontId="24" fillId="0" borderId="0" xfId="2950" applyNumberFormat="1" applyAlignment="1" applyProtection="1">
      <alignment horizontal="center"/>
      <protection locked="0"/>
    </xf>
    <xf numFmtId="0" fontId="24" fillId="0" borderId="0" xfId="2950" applyFont="1" applyBorder="1" applyProtection="1">
      <protection locked="0"/>
    </xf>
    <xf numFmtId="41" fontId="26" fillId="28" borderId="0" xfId="2264" applyNumberFormat="1" applyFont="1" applyFill="1" applyBorder="1" applyProtection="1">
      <protection locked="0"/>
    </xf>
    <xf numFmtId="168" fontId="26" fillId="29" borderId="0" xfId="4685" applyNumberFormat="1" applyFont="1" applyFill="1" applyBorder="1" applyAlignment="1" applyProtection="1">
      <alignment horizontal="right"/>
      <protection locked="0"/>
    </xf>
    <xf numFmtId="168" fontId="26" fillId="0" borderId="0" xfId="4685" applyNumberFormat="1" applyFont="1" applyFill="1" applyBorder="1" applyAlignment="1" applyProtection="1">
      <alignment horizontal="right"/>
      <protection locked="0"/>
    </xf>
    <xf numFmtId="0" fontId="28" fillId="75" borderId="0" xfId="2950" applyFont="1" applyFill="1"/>
    <xf numFmtId="0" fontId="28" fillId="75" borderId="0" xfId="2950" applyFont="1" applyFill="1" applyBorder="1"/>
    <xf numFmtId="1" fontId="28" fillId="75" borderId="0" xfId="2950" applyNumberFormat="1" applyFont="1" applyFill="1" applyBorder="1" applyAlignment="1">
      <alignment horizontal="center"/>
    </xf>
    <xf numFmtId="0" fontId="28" fillId="103" borderId="0" xfId="2950" applyFont="1" applyFill="1" applyAlignment="1">
      <alignment horizontal="left"/>
    </xf>
    <xf numFmtId="0" fontId="31" fillId="103" borderId="0" xfId="2950" applyFont="1" applyFill="1" applyProtection="1">
      <protection locked="0"/>
    </xf>
    <xf numFmtId="1" fontId="28" fillId="103" borderId="0" xfId="2950" applyNumberFormat="1" applyFont="1" applyFill="1" applyBorder="1" applyAlignment="1">
      <alignment horizontal="center"/>
    </xf>
    <xf numFmtId="38" fontId="111" fillId="87" borderId="0" xfId="21991" applyNumberFormat="1" applyFont="1" applyFill="1" applyAlignment="1">
      <alignment horizontal="left"/>
    </xf>
    <xf numFmtId="0" fontId="0" fillId="87" borderId="0" xfId="0" applyFill="1"/>
    <xf numFmtId="38" fontId="1" fillId="87" borderId="0" xfId="21991" applyNumberFormat="1" applyFont="1" applyFill="1"/>
    <xf numFmtId="40" fontId="111" fillId="87" borderId="0" xfId="21991" applyNumberFormat="1" applyFont="1" applyFill="1" applyAlignment="1">
      <alignment horizontal="center"/>
    </xf>
    <xf numFmtId="43" fontId="0" fillId="0" borderId="0" xfId="21991" applyFont="1"/>
    <xf numFmtId="38" fontId="24" fillId="0" borderId="0" xfId="2950" applyNumberFormat="1"/>
    <xf numFmtId="0" fontId="201" fillId="90" borderId="0" xfId="2432" applyFont="1" applyFill="1" applyAlignment="1">
      <alignment horizontal="right"/>
    </xf>
    <xf numFmtId="0" fontId="32" fillId="104" borderId="0" xfId="0" applyFont="1" applyFill="1" applyAlignment="1">
      <alignment horizontal="right"/>
    </xf>
    <xf numFmtId="0" fontId="24" fillId="104" borderId="0" xfId="0" applyFont="1" applyFill="1"/>
    <xf numFmtId="6" fontId="24" fillId="104" borderId="0" xfId="0" applyNumberFormat="1" applyFont="1" applyFill="1"/>
    <xf numFmtId="6" fontId="32" fillId="104" borderId="0" xfId="0" applyNumberFormat="1" applyFont="1" applyFill="1"/>
    <xf numFmtId="0" fontId="32" fillId="104" borderId="9" xfId="2359" applyFont="1" applyFill="1" applyBorder="1" applyAlignment="1">
      <alignment horizontal="right" vertical="center"/>
    </xf>
    <xf numFmtId="0" fontId="32" fillId="104" borderId="9" xfId="2438" applyFont="1" applyFill="1" applyBorder="1" applyAlignment="1">
      <alignment vertical="center"/>
    </xf>
    <xf numFmtId="10" fontId="32" fillId="104" borderId="9" xfId="21992" applyNumberFormat="1" applyFont="1" applyFill="1" applyBorder="1" applyAlignment="1">
      <alignment vertical="center"/>
    </xf>
    <xf numFmtId="37" fontId="32" fillId="104" borderId="0" xfId="2590" applyNumberFormat="1" applyFont="1" applyFill="1" applyBorder="1" applyAlignment="1">
      <alignment horizontal="right" vertical="center"/>
    </xf>
    <xf numFmtId="10" fontId="32" fillId="104" borderId="0" xfId="2590" applyNumberFormat="1" applyFont="1" applyFill="1" applyBorder="1" applyAlignment="1">
      <alignment vertical="center"/>
    </xf>
    <xf numFmtId="37" fontId="32" fillId="104" borderId="0" xfId="2590" applyNumberFormat="1" applyFont="1" applyFill="1" applyBorder="1" applyAlignment="1">
      <alignment vertical="center"/>
    </xf>
    <xf numFmtId="0" fontId="32" fillId="104" borderId="0" xfId="0" applyFont="1" applyFill="1"/>
    <xf numFmtId="10" fontId="32" fillId="104" borderId="0" xfId="0" applyNumberFormat="1" applyFont="1" applyFill="1"/>
    <xf numFmtId="0" fontId="0" fillId="105" borderId="0" xfId="0" applyFill="1"/>
    <xf numFmtId="173" fontId="0" fillId="105" borderId="0" xfId="0" applyNumberFormat="1" applyFill="1"/>
    <xf numFmtId="0" fontId="0" fillId="72" borderId="0" xfId="0" applyFill="1"/>
    <xf numFmtId="173" fontId="0" fillId="72" borderId="0" xfId="0" applyNumberFormat="1" applyFill="1"/>
    <xf numFmtId="0" fontId="85" fillId="75" borderId="50" xfId="2432" applyFont="1" applyFill="1" applyBorder="1" applyAlignment="1">
      <alignment horizontal="center" vertical="center"/>
    </xf>
    <xf numFmtId="0" fontId="81" fillId="0" borderId="0" xfId="0" applyFont="1" applyAlignment="1">
      <alignment horizontal="center"/>
    </xf>
    <xf numFmtId="5" fontId="171" fillId="25" borderId="9" xfId="0" applyNumberFormat="1" applyFont="1" applyFill="1" applyBorder="1"/>
    <xf numFmtId="5" fontId="171" fillId="78" borderId="9" xfId="0" applyNumberFormat="1" applyFont="1" applyFill="1" applyBorder="1"/>
    <xf numFmtId="5" fontId="171" fillId="67" borderId="9" xfId="0" applyNumberFormat="1" applyFont="1" applyFill="1" applyBorder="1" applyAlignment="1">
      <alignment vertical="center"/>
    </xf>
    <xf numFmtId="10" fontId="33" fillId="0" borderId="9" xfId="2517" applyNumberFormat="1" applyFont="1" applyBorder="1" applyAlignment="1">
      <alignment vertical="center"/>
    </xf>
    <xf numFmtId="6" fontId="117" fillId="0" borderId="0" xfId="0" applyNumberFormat="1" applyFont="1"/>
    <xf numFmtId="0" fontId="168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7" fillId="0" borderId="0" xfId="0" applyFont="1" applyFill="1" applyAlignment="1">
      <alignment horizontal="left"/>
    </xf>
    <xf numFmtId="0" fontId="168" fillId="61" borderId="0" xfId="0" applyFont="1" applyFill="1" applyAlignment="1">
      <alignment horizontal="left"/>
    </xf>
    <xf numFmtId="166" fontId="168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166" fontId="0" fillId="0" borderId="0" xfId="0" applyNumberFormat="1" applyAlignment="1">
      <alignment horizontal="right"/>
    </xf>
    <xf numFmtId="3" fontId="168" fillId="0" borderId="0" xfId="27898" applyNumberFormat="1" applyFont="1" applyFill="1" applyAlignment="1">
      <alignment horizontal="right"/>
    </xf>
    <xf numFmtId="3" fontId="168" fillId="0" borderId="0" xfId="0" applyNumberFormat="1" applyFont="1" applyFill="1" applyBorder="1" applyAlignment="1">
      <alignment horizontal="right"/>
    </xf>
    <xf numFmtId="166" fontId="170" fillId="0" borderId="0" xfId="27898" applyNumberFormat="1" applyFont="1" applyFill="1" applyAlignment="1">
      <alignment horizontal="right"/>
    </xf>
    <xf numFmtId="166" fontId="170" fillId="0" borderId="0" xfId="0" applyNumberFormat="1" applyFont="1" applyFill="1" applyBorder="1" applyAlignment="1">
      <alignment horizontal="right"/>
    </xf>
    <xf numFmtId="166" fontId="173" fillId="0" borderId="0" xfId="0" applyNumberFormat="1" applyFont="1" applyFill="1" applyBorder="1" applyAlignment="1">
      <alignment horizontal="right"/>
    </xf>
    <xf numFmtId="0" fontId="168" fillId="0" borderId="0" xfId="0" applyFont="1" applyAlignment="1">
      <alignment horizontal="center"/>
    </xf>
    <xf numFmtId="166" fontId="173" fillId="0" borderId="0" xfId="0" applyNumberFormat="1" applyFont="1" applyFill="1" applyAlignment="1">
      <alignment horizontal="right"/>
    </xf>
    <xf numFmtId="0" fontId="168" fillId="0" borderId="0" xfId="0" applyFont="1" applyAlignment="1">
      <alignment horizontal="right"/>
    </xf>
    <xf numFmtId="0" fontId="79" fillId="0" borderId="0" xfId="0" applyFont="1" applyAlignment="1">
      <alignment horizontal="right"/>
    </xf>
    <xf numFmtId="0" fontId="80" fillId="0" borderId="0" xfId="0" applyFont="1" applyAlignment="1">
      <alignment horizontal="right"/>
    </xf>
    <xf numFmtId="0" fontId="169" fillId="0" borderId="0" xfId="0" applyFont="1" applyFill="1" applyBorder="1" applyAlignment="1">
      <alignment horizontal="right"/>
    </xf>
    <xf numFmtId="5" fontId="173" fillId="0" borderId="0" xfId="0" applyNumberFormat="1" applyFont="1" applyFill="1" applyAlignment="1">
      <alignment horizontal="right"/>
    </xf>
    <xf numFmtId="37" fontId="168" fillId="72" borderId="0" xfId="0" applyNumberFormat="1" applyFont="1" applyFill="1" applyBorder="1"/>
    <xf numFmtId="0" fontId="169" fillId="0" borderId="14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167" fillId="0" borderId="0" xfId="0" applyFont="1" applyFill="1" applyBorder="1" applyAlignment="1">
      <alignment horizontal="center"/>
    </xf>
    <xf numFmtId="0" fontId="169" fillId="0" borderId="0" xfId="0" applyFont="1" applyFill="1" applyBorder="1" applyAlignment="1">
      <alignment horizontal="center" wrapText="1"/>
    </xf>
    <xf numFmtId="0" fontId="169" fillId="0" borderId="0" xfId="0" applyFont="1" applyFill="1" applyBorder="1" applyAlignment="1">
      <alignment horizontal="left" indent="5"/>
    </xf>
    <xf numFmtId="3" fontId="170" fillId="0" borderId="0" xfId="0" applyNumberFormat="1" applyFont="1" applyFill="1" applyBorder="1"/>
    <xf numFmtId="10" fontId="168" fillId="0" borderId="0" xfId="21992" applyNumberFormat="1" applyFont="1" applyFill="1" applyBorder="1"/>
    <xf numFmtId="5" fontId="169" fillId="0" borderId="0" xfId="0" applyNumberFormat="1" applyFont="1" applyFill="1" applyBorder="1" applyAlignment="1">
      <alignment horizontal="center" wrapText="1"/>
    </xf>
    <xf numFmtId="43" fontId="33" fillId="0" borderId="0" xfId="21991" applyFont="1"/>
    <xf numFmtId="193" fontId="167" fillId="61" borderId="0" xfId="21991" applyNumberFormat="1" applyFont="1" applyFill="1" applyBorder="1"/>
    <xf numFmtId="7" fontId="167" fillId="78" borderId="0" xfId="0" applyNumberFormat="1" applyFont="1" applyFill="1" applyBorder="1"/>
    <xf numFmtId="0" fontId="168" fillId="63" borderId="41" xfId="0" applyFont="1" applyFill="1" applyBorder="1"/>
    <xf numFmtId="0" fontId="168" fillId="64" borderId="9" xfId="0" applyFont="1" applyFill="1" applyBorder="1"/>
    <xf numFmtId="5" fontId="171" fillId="65" borderId="9" xfId="0" applyNumberFormat="1" applyFont="1" applyFill="1" applyBorder="1"/>
    <xf numFmtId="5" fontId="170" fillId="78" borderId="0" xfId="0" applyNumberFormat="1" applyFont="1" applyFill="1" applyBorder="1"/>
    <xf numFmtId="0" fontId="168" fillId="72" borderId="0" xfId="0" applyFont="1" applyFill="1" applyBorder="1"/>
    <xf numFmtId="0" fontId="168" fillId="84" borderId="25" xfId="0" applyFont="1" applyFill="1" applyBorder="1"/>
    <xf numFmtId="37" fontId="170" fillId="62" borderId="0" xfId="0" applyNumberFormat="1" applyFont="1" applyFill="1" applyBorder="1"/>
    <xf numFmtId="5" fontId="198" fillId="62" borderId="0" xfId="0" applyNumberFormat="1" applyFont="1" applyFill="1" applyBorder="1" applyAlignment="1">
      <alignment horizontal="right"/>
    </xf>
    <xf numFmtId="5" fontId="198" fillId="62" borderId="9" xfId="0" applyNumberFormat="1" applyFont="1" applyFill="1" applyBorder="1" applyAlignment="1">
      <alignment horizontal="right"/>
    </xf>
    <xf numFmtId="37" fontId="168" fillId="67" borderId="0" xfId="0" applyNumberFormat="1" applyFont="1" applyFill="1" applyBorder="1"/>
    <xf numFmtId="37" fontId="170" fillId="67" borderId="0" xfId="0" applyNumberFormat="1" applyFont="1" applyFill="1" applyBorder="1"/>
    <xf numFmtId="166" fontId="170" fillId="65" borderId="0" xfId="0" applyNumberFormat="1" applyFont="1" applyFill="1" applyBorder="1"/>
    <xf numFmtId="166" fontId="172" fillId="68" borderId="0" xfId="0" applyNumberFormat="1" applyFont="1" applyFill="1" applyBorder="1"/>
    <xf numFmtId="5" fontId="198" fillId="74" borderId="9" xfId="0" applyNumberFormat="1" applyFont="1" applyFill="1" applyBorder="1" applyAlignment="1">
      <alignment horizontal="right"/>
    </xf>
    <xf numFmtId="165" fontId="172" fillId="28" borderId="0" xfId="0" applyNumberFormat="1" applyFont="1" applyFill="1" applyBorder="1"/>
    <xf numFmtId="5" fontId="171" fillId="28" borderId="0" xfId="0" applyNumberFormat="1" applyFont="1" applyFill="1" applyBorder="1"/>
    <xf numFmtId="0" fontId="167" fillId="83" borderId="0" xfId="0" applyFont="1" applyFill="1" applyBorder="1" applyAlignment="1">
      <alignment horizontal="center"/>
    </xf>
    <xf numFmtId="5" fontId="168" fillId="83" borderId="0" xfId="0" applyNumberFormat="1" applyFont="1" applyFill="1" applyBorder="1"/>
    <xf numFmtId="166" fontId="172" fillId="83" borderId="0" xfId="0" applyNumberFormat="1" applyFont="1" applyFill="1" applyBorder="1"/>
    <xf numFmtId="0" fontId="197" fillId="69" borderId="9" xfId="0" applyFont="1" applyFill="1" applyBorder="1" applyAlignment="1">
      <alignment horizontal="right"/>
    </xf>
    <xf numFmtId="169" fontId="171" fillId="68" borderId="0" xfId="0" applyNumberFormat="1" applyFont="1" applyFill="1" applyBorder="1"/>
    <xf numFmtId="166" fontId="168" fillId="68" borderId="0" xfId="0" applyNumberFormat="1" applyFont="1" applyFill="1" applyBorder="1"/>
    <xf numFmtId="3" fontId="168" fillId="68" borderId="0" xfId="0" applyNumberFormat="1" applyFont="1" applyFill="1" applyBorder="1"/>
    <xf numFmtId="3" fontId="170" fillId="68" borderId="0" xfId="0" applyNumberFormat="1" applyFont="1" applyFill="1" applyBorder="1"/>
    <xf numFmtId="166" fontId="171" fillId="68" borderId="0" xfId="0" applyNumberFormat="1" applyFont="1" applyFill="1" applyBorder="1"/>
    <xf numFmtId="42" fontId="171" fillId="68" borderId="0" xfId="0" applyNumberFormat="1" applyFont="1" applyFill="1" applyBorder="1"/>
    <xf numFmtId="0" fontId="169" fillId="0" borderId="0" xfId="0" applyFont="1" applyFill="1" applyBorder="1" applyAlignment="1">
      <alignment horizontal="center"/>
    </xf>
    <xf numFmtId="43" fontId="168" fillId="0" borderId="0" xfId="21991" applyFont="1" applyFill="1"/>
    <xf numFmtId="7" fontId="0" fillId="0" borderId="0" xfId="0" applyNumberFormat="1"/>
    <xf numFmtId="166" fontId="33" fillId="76" borderId="0" xfId="0" applyNumberFormat="1" applyFont="1" applyFill="1"/>
    <xf numFmtId="0" fontId="85" fillId="75" borderId="50" xfId="2432" applyFont="1" applyFill="1" applyBorder="1" applyAlignment="1">
      <alignment horizontal="center" vertical="center"/>
    </xf>
    <xf numFmtId="0" fontId="81" fillId="0" borderId="0" xfId="0" applyFont="1" applyAlignment="1">
      <alignment horizontal="center"/>
    </xf>
    <xf numFmtId="165" fontId="170" fillId="61" borderId="0" xfId="0" applyNumberFormat="1" applyFont="1" applyFill="1" applyBorder="1"/>
    <xf numFmtId="165" fontId="170" fillId="78" borderId="0" xfId="0" applyNumberFormat="1" applyFont="1" applyFill="1" applyBorder="1"/>
    <xf numFmtId="5" fontId="169" fillId="72" borderId="0" xfId="0" applyNumberFormat="1" applyFont="1" applyFill="1" applyBorder="1" applyAlignment="1">
      <alignment horizontal="center" wrapText="1"/>
    </xf>
    <xf numFmtId="166" fontId="167" fillId="0" borderId="0" xfId="0" applyNumberFormat="1" applyFont="1" applyFill="1" applyBorder="1" applyAlignment="1">
      <alignment horizontal="center"/>
    </xf>
    <xf numFmtId="5" fontId="168" fillId="0" borderId="0" xfId="0" applyNumberFormat="1" applyFont="1" applyFill="1" applyBorder="1" applyAlignment="1">
      <alignment horizontal="right"/>
    </xf>
    <xf numFmtId="37" fontId="168" fillId="0" borderId="0" xfId="0" applyNumberFormat="1" applyFont="1" applyFill="1" applyBorder="1" applyAlignment="1">
      <alignment horizontal="right"/>
    </xf>
    <xf numFmtId="166" fontId="171" fillId="0" borderId="0" xfId="0" applyNumberFormat="1" applyFont="1" applyFill="1" applyBorder="1" applyAlignment="1">
      <alignment horizontal="right"/>
    </xf>
    <xf numFmtId="5" fontId="170" fillId="0" borderId="0" xfId="0" applyNumberFormat="1" applyFont="1" applyFill="1" applyBorder="1" applyAlignment="1">
      <alignment horizontal="right"/>
    </xf>
    <xf numFmtId="5" fontId="171" fillId="0" borderId="0" xfId="0" applyNumberFormat="1" applyFont="1" applyFill="1" applyBorder="1" applyAlignment="1">
      <alignment horizontal="right"/>
    </xf>
    <xf numFmtId="37" fontId="170" fillId="0" borderId="0" xfId="0" applyNumberFormat="1" applyFont="1" applyFill="1" applyBorder="1"/>
    <xf numFmtId="1" fontId="167" fillId="0" borderId="0" xfId="0" applyNumberFormat="1" applyFont="1" applyFill="1" applyBorder="1"/>
    <xf numFmtId="8" fontId="168" fillId="0" borderId="0" xfId="0" applyNumberFormat="1" applyFont="1" applyFill="1" applyBorder="1"/>
    <xf numFmtId="165" fontId="168" fillId="0" borderId="0" xfId="0" applyNumberFormat="1" applyFont="1" applyFill="1" applyBorder="1"/>
    <xf numFmtId="166" fontId="171" fillId="0" borderId="0" xfId="0" applyNumberFormat="1" applyFont="1" applyFill="1" applyBorder="1"/>
    <xf numFmtId="37" fontId="172" fillId="0" borderId="0" xfId="0" applyNumberFormat="1" applyFont="1" applyFill="1" applyBorder="1"/>
    <xf numFmtId="10" fontId="168" fillId="0" borderId="0" xfId="0" applyNumberFormat="1" applyFont="1" applyFill="1" applyBorder="1"/>
    <xf numFmtId="165" fontId="170" fillId="0" borderId="0" xfId="0" applyNumberFormat="1" applyFont="1" applyFill="1" applyBorder="1"/>
    <xf numFmtId="168" fontId="168" fillId="0" borderId="0" xfId="21992" applyNumberFormat="1" applyFont="1" applyFill="1" applyBorder="1"/>
    <xf numFmtId="168" fontId="168" fillId="0" borderId="0" xfId="0" applyNumberFormat="1" applyFont="1" applyFill="1" applyBorder="1"/>
    <xf numFmtId="165" fontId="172" fillId="0" borderId="0" xfId="0" applyNumberFormat="1" applyFont="1" applyFill="1" applyBorder="1"/>
    <xf numFmtId="166" fontId="169" fillId="0" borderId="0" xfId="0" applyNumberFormat="1" applyFont="1" applyFill="1" applyBorder="1" applyAlignment="1">
      <alignment horizontal="left" indent="5"/>
    </xf>
    <xf numFmtId="37" fontId="170" fillId="0" borderId="0" xfId="0" applyNumberFormat="1" applyFont="1" applyFill="1" applyBorder="1" applyAlignment="1">
      <alignment horizontal="right"/>
    </xf>
    <xf numFmtId="5" fontId="169" fillId="0" borderId="0" xfId="0" applyNumberFormat="1" applyFont="1" applyFill="1" applyBorder="1" applyAlignment="1">
      <alignment horizontal="left" indent="5"/>
    </xf>
    <xf numFmtId="190" fontId="169" fillId="0" borderId="0" xfId="0" applyNumberFormat="1" applyFont="1" applyFill="1" applyBorder="1" applyAlignment="1">
      <alignment horizontal="center" wrapText="1"/>
    </xf>
    <xf numFmtId="10" fontId="171" fillId="0" borderId="0" xfId="0" applyNumberFormat="1" applyFont="1" applyFill="1" applyBorder="1"/>
    <xf numFmtId="5" fontId="171" fillId="0" borderId="0" xfId="0" applyNumberFormat="1" applyFont="1" applyFill="1" applyBorder="1" applyAlignment="1">
      <alignment vertical="center"/>
    </xf>
    <xf numFmtId="166" fontId="0" fillId="61" borderId="0" xfId="0" applyNumberFormat="1" applyFill="1"/>
    <xf numFmtId="166" fontId="168" fillId="62" borderId="0" xfId="0" applyNumberFormat="1" applyFont="1" applyFill="1" applyBorder="1"/>
    <xf numFmtId="37" fontId="168" fillId="106" borderId="0" xfId="0" applyNumberFormat="1" applyFont="1" applyFill="1" applyBorder="1"/>
    <xf numFmtId="5" fontId="168" fillId="106" borderId="0" xfId="0" applyNumberFormat="1" applyFont="1" applyFill="1" applyBorder="1"/>
    <xf numFmtId="37" fontId="170" fillId="106" borderId="0" xfId="0" applyNumberFormat="1" applyFont="1" applyFill="1" applyBorder="1"/>
    <xf numFmtId="5" fontId="168" fillId="69" borderId="0" xfId="0" applyNumberFormat="1" applyFont="1" applyFill="1" applyBorder="1"/>
    <xf numFmtId="37" fontId="168" fillId="106" borderId="0" xfId="0" applyNumberFormat="1" applyFont="1" applyFill="1" applyBorder="1" applyAlignment="1">
      <alignment horizontal="right"/>
    </xf>
    <xf numFmtId="165" fontId="172" fillId="106" borderId="0" xfId="0" applyNumberFormat="1" applyFont="1" applyFill="1" applyBorder="1"/>
    <xf numFmtId="0" fontId="7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7" fontId="180" fillId="0" borderId="0" xfId="0" quotePrefix="1" applyNumberFormat="1" applyFont="1" applyAlignment="1">
      <alignment horizontal="center"/>
    </xf>
    <xf numFmtId="0" fontId="180" fillId="0" borderId="0" xfId="0" applyFont="1" applyAlignment="1">
      <alignment horizontal="center"/>
    </xf>
    <xf numFmtId="0" fontId="85" fillId="75" borderId="49" xfId="2432" applyFont="1" applyFill="1" applyBorder="1" applyAlignment="1">
      <alignment horizontal="center" vertical="center"/>
    </xf>
    <xf numFmtId="0" fontId="85" fillId="75" borderId="50" xfId="2432" applyFont="1" applyFill="1" applyBorder="1" applyAlignment="1">
      <alignment horizontal="center" vertical="center"/>
    </xf>
    <xf numFmtId="0" fontId="81" fillId="0" borderId="0" xfId="0" applyFont="1" applyAlignment="1">
      <alignment horizontal="center"/>
    </xf>
    <xf numFmtId="1" fontId="181" fillId="75" borderId="49" xfId="2920" applyNumberFormat="1" applyFont="1" applyFill="1" applyBorder="1" applyAlignment="1">
      <alignment horizontal="center" vertical="center"/>
    </xf>
    <xf numFmtId="1" fontId="181" fillId="75" borderId="50" xfId="2920" applyNumberFormat="1" applyFont="1" applyFill="1" applyBorder="1" applyAlignment="1">
      <alignment horizontal="center" vertical="center"/>
    </xf>
    <xf numFmtId="0" fontId="100" fillId="0" borderId="0" xfId="0" applyFont="1" applyAlignment="1">
      <alignment horizontal="center"/>
    </xf>
    <xf numFmtId="0" fontId="60" fillId="0" borderId="0" xfId="0" applyFont="1" applyAlignment="1">
      <alignment horizontal="center"/>
    </xf>
  </cellXfs>
  <cellStyles count="27909">
    <cellStyle name="20% - Accent1" xfId="1" builtinId="30" customBuiltin="1"/>
    <cellStyle name="20% - Accent1 10" xfId="8776"/>
    <cellStyle name="20% - Accent1 10 2" xfId="11468"/>
    <cellStyle name="20% - Accent1 10 3" xfId="10155"/>
    <cellStyle name="20% - Accent1 10 4" xfId="12265"/>
    <cellStyle name="20% - Accent1 10_Note Calc" xfId="26511"/>
    <cellStyle name="20% - Accent1 100" xfId="12266"/>
    <cellStyle name="20% - Accent1 101" xfId="12267"/>
    <cellStyle name="20% - Accent1 102" xfId="12268"/>
    <cellStyle name="20% - Accent1 103" xfId="12269"/>
    <cellStyle name="20% - Accent1 104" xfId="12270"/>
    <cellStyle name="20% - Accent1 105" xfId="12271"/>
    <cellStyle name="20% - Accent1 106" xfId="12272"/>
    <cellStyle name="20% - Accent1 107" xfId="12273"/>
    <cellStyle name="20% - Accent1 108" xfId="12274"/>
    <cellStyle name="20% - Accent1 109" xfId="12275"/>
    <cellStyle name="20% - Accent1 11" xfId="10780"/>
    <cellStyle name="20% - Accent1 11 2" xfId="12276"/>
    <cellStyle name="20% - Accent1 11_Forecast" xfId="21998"/>
    <cellStyle name="20% - Accent1 110" xfId="12277"/>
    <cellStyle name="20% - Accent1 111" xfId="12278"/>
    <cellStyle name="20% - Accent1 112" xfId="12279"/>
    <cellStyle name="20% - Accent1 113" xfId="12280"/>
    <cellStyle name="20% - Accent1 114" xfId="12281"/>
    <cellStyle name="20% - Accent1 115" xfId="12282"/>
    <cellStyle name="20% - Accent1 116" xfId="12283"/>
    <cellStyle name="20% - Accent1 117" xfId="12284"/>
    <cellStyle name="20% - Accent1 118" xfId="12285"/>
    <cellStyle name="20% - Accent1 119" xfId="12286"/>
    <cellStyle name="20% - Accent1 12" xfId="9467"/>
    <cellStyle name="20% - Accent1 12 2" xfId="12287"/>
    <cellStyle name="20% - Accent1 12_Forecast" xfId="21999"/>
    <cellStyle name="20% - Accent1 120" xfId="12288"/>
    <cellStyle name="20% - Accent1 121" xfId="12289"/>
    <cellStyle name="20% - Accent1 122" xfId="12290"/>
    <cellStyle name="20% - Accent1 123" xfId="12291"/>
    <cellStyle name="20% - Accent1 124" xfId="12292"/>
    <cellStyle name="20% - Accent1 125" xfId="12293"/>
    <cellStyle name="20% - Accent1 126" xfId="12294"/>
    <cellStyle name="20% - Accent1 127" xfId="12295"/>
    <cellStyle name="20% - Accent1 128" xfId="12296"/>
    <cellStyle name="20% - Accent1 129" xfId="12297"/>
    <cellStyle name="20% - Accent1 13" xfId="12235"/>
    <cellStyle name="20% - Accent1 13 2" xfId="12298"/>
    <cellStyle name="20% - Accent1 13_Note Calc" xfId="26512"/>
    <cellStyle name="20% - Accent1 130" xfId="12299"/>
    <cellStyle name="20% - Accent1 131" xfId="12300"/>
    <cellStyle name="20% - Accent1 132" xfId="12301"/>
    <cellStyle name="20% - Accent1 133" xfId="12302"/>
    <cellStyle name="20% - Accent1 134" xfId="12303"/>
    <cellStyle name="20% - Accent1 135" xfId="12304"/>
    <cellStyle name="20% - Accent1 136" xfId="12305"/>
    <cellStyle name="20% - Accent1 137" xfId="12306"/>
    <cellStyle name="20% - Accent1 138" xfId="12307"/>
    <cellStyle name="20% - Accent1 139" xfId="12308"/>
    <cellStyle name="20% - Accent1 14" xfId="12309"/>
    <cellStyle name="20% - Accent1 140" xfId="12310"/>
    <cellStyle name="20% - Accent1 141" xfId="12311"/>
    <cellStyle name="20% - Accent1 142" xfId="12312"/>
    <cellStyle name="20% - Accent1 143" xfId="12313"/>
    <cellStyle name="20% - Accent1 144" xfId="12314"/>
    <cellStyle name="20% - Accent1 145" xfId="12315"/>
    <cellStyle name="20% - Accent1 146" xfId="12316"/>
    <cellStyle name="20% - Accent1 147" xfId="12317"/>
    <cellStyle name="20% - Accent1 148" xfId="12318"/>
    <cellStyle name="20% - Accent1 149" xfId="12319"/>
    <cellStyle name="20% - Accent1 15" xfId="12320"/>
    <cellStyle name="20% - Accent1 150" xfId="12321"/>
    <cellStyle name="20% - Accent1 151" xfId="12322"/>
    <cellStyle name="20% - Accent1 152" xfId="12323"/>
    <cellStyle name="20% - Accent1 153" xfId="12324"/>
    <cellStyle name="20% - Accent1 154" xfId="12325"/>
    <cellStyle name="20% - Accent1 155" xfId="12326"/>
    <cellStyle name="20% - Accent1 156" xfId="12327"/>
    <cellStyle name="20% - Accent1 157" xfId="12328"/>
    <cellStyle name="20% - Accent1 158" xfId="12329"/>
    <cellStyle name="20% - Accent1 159" xfId="12330"/>
    <cellStyle name="20% - Accent1 16" xfId="12331"/>
    <cellStyle name="20% - Accent1 160" xfId="12332"/>
    <cellStyle name="20% - Accent1 161" xfId="12333"/>
    <cellStyle name="20% - Accent1 162" xfId="12334"/>
    <cellStyle name="20% - Accent1 163" xfId="12335"/>
    <cellStyle name="20% - Accent1 163 2" xfId="21286"/>
    <cellStyle name="20% - Accent1 163 3" xfId="21287"/>
    <cellStyle name="20% - Accent1 163_Note Calc" xfId="26513"/>
    <cellStyle name="20% - Accent1 164" xfId="12336"/>
    <cellStyle name="20% - Accent1 165" xfId="12337"/>
    <cellStyle name="20% - Accent1 166" xfId="12338"/>
    <cellStyle name="20% - Accent1 167" xfId="12339"/>
    <cellStyle name="20% - Accent1 168" xfId="12340"/>
    <cellStyle name="20% - Accent1 169" xfId="12341"/>
    <cellStyle name="20% - Accent1 17" xfId="12342"/>
    <cellStyle name="20% - Accent1 170" xfId="12343"/>
    <cellStyle name="20% - Accent1 171" xfId="12344"/>
    <cellStyle name="20% - Accent1 172" xfId="12345"/>
    <cellStyle name="20% - Accent1 173" xfId="12346"/>
    <cellStyle name="20% - Accent1 174" xfId="12347"/>
    <cellStyle name="20% - Accent1 175" xfId="12348"/>
    <cellStyle name="20% - Accent1 176" xfId="12349"/>
    <cellStyle name="20% - Accent1 177" xfId="12350"/>
    <cellStyle name="20% - Accent1 178" xfId="12351"/>
    <cellStyle name="20% - Accent1 179" xfId="12352"/>
    <cellStyle name="20% - Accent1 18" xfId="12353"/>
    <cellStyle name="20% - Accent1 180" xfId="12354"/>
    <cellStyle name="20% - Accent1 181" xfId="12355"/>
    <cellStyle name="20% - Accent1 182" xfId="12356"/>
    <cellStyle name="20% - Accent1 183" xfId="12357"/>
    <cellStyle name="20% - Accent1 184" xfId="12358"/>
    <cellStyle name="20% - Accent1 185" xfId="12359"/>
    <cellStyle name="20% - Accent1 186" xfId="12360"/>
    <cellStyle name="20% - Accent1 187" xfId="12361"/>
    <cellStyle name="20% - Accent1 188" xfId="12362"/>
    <cellStyle name="20% - Accent1 189" xfId="12363"/>
    <cellStyle name="20% - Accent1 19" xfId="12364"/>
    <cellStyle name="20% - Accent1 190" xfId="12365"/>
    <cellStyle name="20% - Accent1 191" xfId="12366"/>
    <cellStyle name="20% - Accent1 192" xfId="12367"/>
    <cellStyle name="20% - Accent1 193" xfId="12368"/>
    <cellStyle name="20% - Accent1 194" xfId="12369"/>
    <cellStyle name="20% - Accent1 195" xfId="12370"/>
    <cellStyle name="20% - Accent1 196" xfId="12371"/>
    <cellStyle name="20% - Accent1 197" xfId="12372"/>
    <cellStyle name="20% - Accent1 198" xfId="12373"/>
    <cellStyle name="20% - Accent1 199" xfId="12374"/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14" xfId="7"/>
    <cellStyle name="20% - Accent1 2 15" xfId="8"/>
    <cellStyle name="20% - Accent1 2 16" xfId="9"/>
    <cellStyle name="20% - Accent1 2 17" xfId="10"/>
    <cellStyle name="20% - Accent1 2 18" xfId="11"/>
    <cellStyle name="20% - Accent1 2 19" xfId="12"/>
    <cellStyle name="20% - Accent1 2 2" xfId="13"/>
    <cellStyle name="20% - Accent1 2 2 2" xfId="7426"/>
    <cellStyle name="20% - Accent1 2 2 2 2" xfId="8866"/>
    <cellStyle name="20% - Accent1 2 2 2 2 2" xfId="11557"/>
    <cellStyle name="20% - Accent1 2 2 2 2 3" xfId="10244"/>
    <cellStyle name="20% - Accent1 2 2 2 2_Note Calc" xfId="26514"/>
    <cellStyle name="20% - Accent1 2 2 2 3" xfId="10869"/>
    <cellStyle name="20% - Accent1 2 2 2 4" xfId="9556"/>
    <cellStyle name="20% - Accent1 2 2 2_Forecast" xfId="22000"/>
    <cellStyle name="20% - Accent1 2 2 3" xfId="8082"/>
    <cellStyle name="20% - Accent1 2 2 3 2" xfId="9109"/>
    <cellStyle name="20% - Accent1 2 2 3 2 2" xfId="11800"/>
    <cellStyle name="20% - Accent1 2 2 3 2 3" xfId="10487"/>
    <cellStyle name="20% - Accent1 2 2 3 2_Note Calc" xfId="26515"/>
    <cellStyle name="20% - Accent1 2 2 3 3" xfId="11112"/>
    <cellStyle name="20% - Accent1 2 2 3 4" xfId="9799"/>
    <cellStyle name="20% - Accent1 2 2 3_Forecast" xfId="22001"/>
    <cellStyle name="20% - Accent1 2 2 4" xfId="8493"/>
    <cellStyle name="20% - Accent1 2 2 4 2" xfId="9364"/>
    <cellStyle name="20% - Accent1 2 2 4 2 2" xfId="12055"/>
    <cellStyle name="20% - Accent1 2 2 4 2 3" xfId="10742"/>
    <cellStyle name="20% - Accent1 2 2 4 2_Note Calc" xfId="26516"/>
    <cellStyle name="20% - Accent1 2 2 4 3" xfId="11367"/>
    <cellStyle name="20% - Accent1 2 2 4 4" xfId="10054"/>
    <cellStyle name="20% - Accent1 2 2 4_Forecast" xfId="22002"/>
    <cellStyle name="20% - Accent1 2 2 5" xfId="21288"/>
    <cellStyle name="20% - Accent1 2 2_SFPR" xfId="21859"/>
    <cellStyle name="20% - Accent1 2 20" xfId="14"/>
    <cellStyle name="20% - Accent1 2 21" xfId="15"/>
    <cellStyle name="20% - Accent1 2 22" xfId="16"/>
    <cellStyle name="20% - Accent1 2 23" xfId="17"/>
    <cellStyle name="20% - Accent1 2 24" xfId="18"/>
    <cellStyle name="20% - Accent1 2 25" xfId="19"/>
    <cellStyle name="20% - Accent1 2 26" xfId="20"/>
    <cellStyle name="20% - Accent1 2 27" xfId="21"/>
    <cellStyle name="20% - Accent1 2 28" xfId="22"/>
    <cellStyle name="20% - Accent1 2 29" xfId="23"/>
    <cellStyle name="20% - Accent1 2 3" xfId="24"/>
    <cellStyle name="20% - Accent1 2 3 2" xfId="7427"/>
    <cellStyle name="20% - Accent1 2 3 2 2" xfId="8867"/>
    <cellStyle name="20% - Accent1 2 3 2 2 2" xfId="11558"/>
    <cellStyle name="20% - Accent1 2 3 2 2 3" xfId="10245"/>
    <cellStyle name="20% - Accent1 2 3 2 2_Note Calc" xfId="26517"/>
    <cellStyle name="20% - Accent1 2 3 2 3" xfId="10870"/>
    <cellStyle name="20% - Accent1 2 3 2 4" xfId="9557"/>
    <cellStyle name="20% - Accent1 2 3 2_Forecast" xfId="22003"/>
    <cellStyle name="20% - Accent1 2 3 3" xfId="8072"/>
    <cellStyle name="20% - Accent1 2 3 3 2" xfId="9107"/>
    <cellStyle name="20% - Accent1 2 3 3 2 2" xfId="11798"/>
    <cellStyle name="20% - Accent1 2 3 3 2 3" xfId="10485"/>
    <cellStyle name="20% - Accent1 2 3 3 2_Note Calc" xfId="26518"/>
    <cellStyle name="20% - Accent1 2 3 3 3" xfId="11110"/>
    <cellStyle name="20% - Accent1 2 3 3 4" xfId="9797"/>
    <cellStyle name="20% - Accent1 2 3 3_Forecast" xfId="22004"/>
    <cellStyle name="20% - Accent1 2 3 4" xfId="8492"/>
    <cellStyle name="20% - Accent1 2 3 4 2" xfId="9363"/>
    <cellStyle name="20% - Accent1 2 3 4 2 2" xfId="12054"/>
    <cellStyle name="20% - Accent1 2 3 4 2 3" xfId="10741"/>
    <cellStyle name="20% - Accent1 2 3 4 2_Note Calc" xfId="26519"/>
    <cellStyle name="20% - Accent1 2 3 4 3" xfId="11366"/>
    <cellStyle name="20% - Accent1 2 3 4 4" xfId="10053"/>
    <cellStyle name="20% - Accent1 2 3 4_Forecast" xfId="22005"/>
    <cellStyle name="20% - Accent1 2 3 5" xfId="21289"/>
    <cellStyle name="20% - Accent1 2 3_SFPR" xfId="21860"/>
    <cellStyle name="20% - Accent1 2 30" xfId="25"/>
    <cellStyle name="20% - Accent1 2 31" xfId="7425"/>
    <cellStyle name="20% - Accent1 2 31 2" xfId="8865"/>
    <cellStyle name="20% - Accent1 2 31 2 2" xfId="11556"/>
    <cellStyle name="20% - Accent1 2 31 2 3" xfId="10243"/>
    <cellStyle name="20% - Accent1 2 31 2_Note Calc" xfId="26520"/>
    <cellStyle name="20% - Accent1 2 31 3" xfId="10868"/>
    <cellStyle name="20% - Accent1 2 31 4" xfId="9555"/>
    <cellStyle name="20% - Accent1 2 31_Forecast" xfId="22006"/>
    <cellStyle name="20% - Accent1 2 32" xfId="8088"/>
    <cellStyle name="20% - Accent1 2 32 2" xfId="9110"/>
    <cellStyle name="20% - Accent1 2 32 2 2" xfId="11801"/>
    <cellStyle name="20% - Accent1 2 32 2 3" xfId="10488"/>
    <cellStyle name="20% - Accent1 2 32 2_Note Calc" xfId="26521"/>
    <cellStyle name="20% - Accent1 2 32 3" xfId="11113"/>
    <cellStyle name="20% - Accent1 2 32 4" xfId="9800"/>
    <cellStyle name="20% - Accent1 2 32_Forecast" xfId="22007"/>
    <cellStyle name="20% - Accent1 2 33" xfId="8494"/>
    <cellStyle name="20% - Accent1 2 33 2" xfId="9365"/>
    <cellStyle name="20% - Accent1 2 33 2 2" xfId="12056"/>
    <cellStyle name="20% - Accent1 2 33 2 3" xfId="10743"/>
    <cellStyle name="20% - Accent1 2 33 2_Note Calc" xfId="26522"/>
    <cellStyle name="20% - Accent1 2 33 3" xfId="11368"/>
    <cellStyle name="20% - Accent1 2 33 4" xfId="10055"/>
    <cellStyle name="20% - Accent1 2 33_Forecast" xfId="22008"/>
    <cellStyle name="20% - Accent1 2 34" xfId="12099"/>
    <cellStyle name="20% - Accent1 2 35" xfId="12375"/>
    <cellStyle name="20% - Accent1 2 36" xfId="26523"/>
    <cellStyle name="20% - Accent1 2 4" xfId="26"/>
    <cellStyle name="20% - Accent1 2 4 2" xfId="7428"/>
    <cellStyle name="20% - Accent1 2 4 2 2" xfId="8868"/>
    <cellStyle name="20% - Accent1 2 4 2 2 2" xfId="11559"/>
    <cellStyle name="20% - Accent1 2 4 2 2 3" xfId="10246"/>
    <cellStyle name="20% - Accent1 2 4 2 2_Note Calc" xfId="26524"/>
    <cellStyle name="20% - Accent1 2 4 2 3" xfId="10871"/>
    <cellStyle name="20% - Accent1 2 4 2 4" xfId="9558"/>
    <cellStyle name="20% - Accent1 2 4 2_Forecast" xfId="22009"/>
    <cellStyle name="20% - Accent1 2 4 3" xfId="8052"/>
    <cellStyle name="20% - Accent1 2 4 3 2" xfId="9106"/>
    <cellStyle name="20% - Accent1 2 4 3 2 2" xfId="11797"/>
    <cellStyle name="20% - Accent1 2 4 3 2 3" xfId="10484"/>
    <cellStyle name="20% - Accent1 2 4 3 2_Note Calc" xfId="26525"/>
    <cellStyle name="20% - Accent1 2 4 3 3" xfId="11109"/>
    <cellStyle name="20% - Accent1 2 4 3 4" xfId="9796"/>
    <cellStyle name="20% - Accent1 2 4 3_Forecast" xfId="22010"/>
    <cellStyle name="20% - Accent1 2 4 4" xfId="8491"/>
    <cellStyle name="20% - Accent1 2 4 4 2" xfId="9362"/>
    <cellStyle name="20% - Accent1 2 4 4 2 2" xfId="12053"/>
    <cellStyle name="20% - Accent1 2 4 4 2 3" xfId="10740"/>
    <cellStyle name="20% - Accent1 2 4 4 2_Note Calc" xfId="26526"/>
    <cellStyle name="20% - Accent1 2 4 4 3" xfId="11365"/>
    <cellStyle name="20% - Accent1 2 4 4 4" xfId="10052"/>
    <cellStyle name="20% - Accent1 2 4 4_Forecast" xfId="22011"/>
    <cellStyle name="20% - Accent1 2 4 5" xfId="21290"/>
    <cellStyle name="20% - Accent1 2 4_SFPR" xfId="21861"/>
    <cellStyle name="20% - Accent1 2 5" xfId="27"/>
    <cellStyle name="20% - Accent1 2 5 2" xfId="7429"/>
    <cellStyle name="20% - Accent1 2 5 2 2" xfId="8869"/>
    <cellStyle name="20% - Accent1 2 5 2 2 2" xfId="11560"/>
    <cellStyle name="20% - Accent1 2 5 2 2 3" xfId="10247"/>
    <cellStyle name="20% - Accent1 2 5 2 2_Note Calc" xfId="26527"/>
    <cellStyle name="20% - Accent1 2 5 2 3" xfId="10872"/>
    <cellStyle name="20% - Accent1 2 5 2 4" xfId="9559"/>
    <cellStyle name="20% - Accent1 2 5 2_Forecast" xfId="22012"/>
    <cellStyle name="20% - Accent1 2 5 3" xfId="8026"/>
    <cellStyle name="20% - Accent1 2 5 3 2" xfId="9103"/>
    <cellStyle name="20% - Accent1 2 5 3 2 2" xfId="11794"/>
    <cellStyle name="20% - Accent1 2 5 3 2 3" xfId="10481"/>
    <cellStyle name="20% - Accent1 2 5 3 2_Note Calc" xfId="26528"/>
    <cellStyle name="20% - Accent1 2 5 3 3" xfId="11106"/>
    <cellStyle name="20% - Accent1 2 5 3 4" xfId="9793"/>
    <cellStyle name="20% - Accent1 2 5 3_Forecast" xfId="22013"/>
    <cellStyle name="20% - Accent1 2 5 4" xfId="8490"/>
    <cellStyle name="20% - Accent1 2 5 4 2" xfId="9361"/>
    <cellStyle name="20% - Accent1 2 5 4 2 2" xfId="12052"/>
    <cellStyle name="20% - Accent1 2 5 4 2 3" xfId="10739"/>
    <cellStyle name="20% - Accent1 2 5 4 2_Note Calc" xfId="26529"/>
    <cellStyle name="20% - Accent1 2 5 4 3" xfId="11364"/>
    <cellStyle name="20% - Accent1 2 5 4 4" xfId="10051"/>
    <cellStyle name="20% - Accent1 2 5 4_Forecast" xfId="22014"/>
    <cellStyle name="20% - Accent1 2 6" xfId="28"/>
    <cellStyle name="20% - Accent1 2 6 2" xfId="7430"/>
    <cellStyle name="20% - Accent1 2 6 2 2" xfId="8870"/>
    <cellStyle name="20% - Accent1 2 6 2 2 2" xfId="11561"/>
    <cellStyle name="20% - Accent1 2 6 2 2 3" xfId="10248"/>
    <cellStyle name="20% - Accent1 2 6 2 2_Note Calc" xfId="26530"/>
    <cellStyle name="20% - Accent1 2 6 2 3" xfId="10873"/>
    <cellStyle name="20% - Accent1 2 6 2 4" xfId="9560"/>
    <cellStyle name="20% - Accent1 2 6 2_Forecast" xfId="22015"/>
    <cellStyle name="20% - Accent1 2 6 3" xfId="8006"/>
    <cellStyle name="20% - Accent1 2 6 3 2" xfId="9102"/>
    <cellStyle name="20% - Accent1 2 6 3 2 2" xfId="11793"/>
    <cellStyle name="20% - Accent1 2 6 3 2 3" xfId="10480"/>
    <cellStyle name="20% - Accent1 2 6 3 2_Note Calc" xfId="26531"/>
    <cellStyle name="20% - Accent1 2 6 3 3" xfId="11105"/>
    <cellStyle name="20% - Accent1 2 6 3 4" xfId="9792"/>
    <cellStyle name="20% - Accent1 2 6 3_Forecast" xfId="22016"/>
    <cellStyle name="20% - Accent1 2 6 4" xfId="8489"/>
    <cellStyle name="20% - Accent1 2 6 4 2" xfId="9360"/>
    <cellStyle name="20% - Accent1 2 6 4 2 2" xfId="12051"/>
    <cellStyle name="20% - Accent1 2 6 4 2 3" xfId="10738"/>
    <cellStyle name="20% - Accent1 2 6 4 2_Note Calc" xfId="26532"/>
    <cellStyle name="20% - Accent1 2 6 4 3" xfId="11363"/>
    <cellStyle name="20% - Accent1 2 6 4 4" xfId="10050"/>
    <cellStyle name="20% - Accent1 2 6 4_Forecast" xfId="22017"/>
    <cellStyle name="20% - Accent1 2 7" xfId="29"/>
    <cellStyle name="20% - Accent1 2 7 2" xfId="7431"/>
    <cellStyle name="20% - Accent1 2 7 2 2" xfId="8871"/>
    <cellStyle name="20% - Accent1 2 7 2 2 2" xfId="11562"/>
    <cellStyle name="20% - Accent1 2 7 2 2 3" xfId="10249"/>
    <cellStyle name="20% - Accent1 2 7 2 2_Note Calc" xfId="26533"/>
    <cellStyle name="20% - Accent1 2 7 2 3" xfId="10874"/>
    <cellStyle name="20% - Accent1 2 7 2 4" xfId="9561"/>
    <cellStyle name="20% - Accent1 2 7 2_Forecast" xfId="22018"/>
    <cellStyle name="20% - Accent1 2 7 3" xfId="7986"/>
    <cellStyle name="20% - Accent1 2 7 3 2" xfId="9101"/>
    <cellStyle name="20% - Accent1 2 7 3 2 2" xfId="11792"/>
    <cellStyle name="20% - Accent1 2 7 3 2 3" xfId="10479"/>
    <cellStyle name="20% - Accent1 2 7 3 2_Note Calc" xfId="26534"/>
    <cellStyle name="20% - Accent1 2 7 3 3" xfId="11104"/>
    <cellStyle name="20% - Accent1 2 7 3 4" xfId="9791"/>
    <cellStyle name="20% - Accent1 2 7 3_Forecast" xfId="22019"/>
    <cellStyle name="20% - Accent1 2 7 4" xfId="8487"/>
    <cellStyle name="20% - Accent1 2 7 4 2" xfId="9359"/>
    <cellStyle name="20% - Accent1 2 7 4 2 2" xfId="12050"/>
    <cellStyle name="20% - Accent1 2 7 4 2 3" xfId="10737"/>
    <cellStyle name="20% - Accent1 2 7 4 2_Note Calc" xfId="26535"/>
    <cellStyle name="20% - Accent1 2 7 4 3" xfId="11362"/>
    <cellStyle name="20% - Accent1 2 7 4 4" xfId="10049"/>
    <cellStyle name="20% - Accent1 2 7 4_Forecast" xfId="22020"/>
    <cellStyle name="20% - Accent1 2 8" xfId="30"/>
    <cellStyle name="20% - Accent1 2 9" xfId="31"/>
    <cellStyle name="20% - Accent1 2_Forecast" xfId="22021"/>
    <cellStyle name="20% - Accent1 20" xfId="12376"/>
    <cellStyle name="20% - Accent1 200" xfId="12377"/>
    <cellStyle name="20% - Accent1 201" xfId="12378"/>
    <cellStyle name="20% - Accent1 202" xfId="12379"/>
    <cellStyle name="20% - Accent1 203" xfId="12380"/>
    <cellStyle name="20% - Accent1 204" xfId="12381"/>
    <cellStyle name="20% - Accent1 205" xfId="12382"/>
    <cellStyle name="20% - Accent1 206" xfId="12383"/>
    <cellStyle name="20% - Accent1 207" xfId="12384"/>
    <cellStyle name="20% - Accent1 208" xfId="12385"/>
    <cellStyle name="20% - Accent1 209" xfId="12386"/>
    <cellStyle name="20% - Accent1 21" xfId="12387"/>
    <cellStyle name="20% - Accent1 210" xfId="12388"/>
    <cellStyle name="20% - Accent1 211" xfId="12389"/>
    <cellStyle name="20% - Accent1 212" xfId="12390"/>
    <cellStyle name="20% - Accent1 213" xfId="12391"/>
    <cellStyle name="20% - Accent1 214" xfId="12392"/>
    <cellStyle name="20% - Accent1 215" xfId="12393"/>
    <cellStyle name="20% - Accent1 216" xfId="12394"/>
    <cellStyle name="20% - Accent1 217" xfId="12395"/>
    <cellStyle name="20% - Accent1 218" xfId="12396"/>
    <cellStyle name="20% - Accent1 219" xfId="12397"/>
    <cellStyle name="20% - Accent1 22" xfId="12398"/>
    <cellStyle name="20% - Accent1 220" xfId="12399"/>
    <cellStyle name="20% - Accent1 221" xfId="12400"/>
    <cellStyle name="20% - Accent1 222" xfId="12401"/>
    <cellStyle name="20% - Accent1 223" xfId="12402"/>
    <cellStyle name="20% - Accent1 224" xfId="12403"/>
    <cellStyle name="20% - Accent1 225" xfId="12404"/>
    <cellStyle name="20% - Accent1 226" xfId="12405"/>
    <cellStyle name="20% - Accent1 227" xfId="12406"/>
    <cellStyle name="20% - Accent1 228" xfId="12407"/>
    <cellStyle name="20% - Accent1 229" xfId="12408"/>
    <cellStyle name="20% - Accent1 23" xfId="12409"/>
    <cellStyle name="20% - Accent1 230" xfId="12410"/>
    <cellStyle name="20% - Accent1 231" xfId="12411"/>
    <cellStyle name="20% - Accent1 232" xfId="12412"/>
    <cellStyle name="20% - Accent1 233" xfId="12413"/>
    <cellStyle name="20% - Accent1 234" xfId="12414"/>
    <cellStyle name="20% - Accent1 235" xfId="12415"/>
    <cellStyle name="20% - Accent1 236" xfId="12416"/>
    <cellStyle name="20% - Accent1 237" xfId="12417"/>
    <cellStyle name="20% - Accent1 238" xfId="12418"/>
    <cellStyle name="20% - Accent1 239" xfId="12419"/>
    <cellStyle name="20% - Accent1 24" xfId="12420"/>
    <cellStyle name="20% - Accent1 240" xfId="12421"/>
    <cellStyle name="20% - Accent1 241" xfId="12422"/>
    <cellStyle name="20% - Accent1 242" xfId="12423"/>
    <cellStyle name="20% - Accent1 243" xfId="12424"/>
    <cellStyle name="20% - Accent1 244" xfId="12425"/>
    <cellStyle name="20% - Accent1 245" xfId="21291"/>
    <cellStyle name="20% - Accent1 246" xfId="21292"/>
    <cellStyle name="20% - Accent1 247" xfId="21293"/>
    <cellStyle name="20% - Accent1 248" xfId="21294"/>
    <cellStyle name="20% - Accent1 249" xfId="21295"/>
    <cellStyle name="20% - Accent1 25" xfId="12426"/>
    <cellStyle name="20% - Accent1 250" xfId="21296"/>
    <cellStyle name="20% - Accent1 251" xfId="21297"/>
    <cellStyle name="20% - Accent1 252" xfId="21298"/>
    <cellStyle name="20% - Accent1 253" xfId="21299"/>
    <cellStyle name="20% - Accent1 254" xfId="21300"/>
    <cellStyle name="20% - Accent1 255" xfId="21301"/>
    <cellStyle name="20% - Accent1 256" xfId="21302"/>
    <cellStyle name="20% - Accent1 257" xfId="21303"/>
    <cellStyle name="20% - Accent1 258" xfId="21776"/>
    <cellStyle name="20% - Accent1 259" xfId="21777"/>
    <cellStyle name="20% - Accent1 26" xfId="12427"/>
    <cellStyle name="20% - Accent1 260" xfId="21778"/>
    <cellStyle name="20% - Accent1 261" xfId="21779"/>
    <cellStyle name="20% - Accent1 262" xfId="21723"/>
    <cellStyle name="20% - Accent1 263" xfId="21966"/>
    <cellStyle name="20% - Accent1 264" xfId="21902"/>
    <cellStyle name="20% - Accent1 265" xfId="26536"/>
    <cellStyle name="20% - Accent1 27" xfId="12428"/>
    <cellStyle name="20% - Accent1 28" xfId="12429"/>
    <cellStyle name="20% - Accent1 29" xfId="12430"/>
    <cellStyle name="20% - Accent1 3" xfId="7410"/>
    <cellStyle name="20% - Accent1 3 10" xfId="8852"/>
    <cellStyle name="20% - Accent1 3 10 2" xfId="11543"/>
    <cellStyle name="20% - Accent1 3 10 3" xfId="10230"/>
    <cellStyle name="20% - Accent1 3 10_Note Calc" xfId="26537"/>
    <cellStyle name="20% - Accent1 3 11" xfId="10855"/>
    <cellStyle name="20% - Accent1 3 12" xfId="9542"/>
    <cellStyle name="20% - Accent1 3 12 2" xfId="22022"/>
    <cellStyle name="20% - Accent1 3 12_Forecast" xfId="22023"/>
    <cellStyle name="20% - Accent1 3 13" xfId="12431"/>
    <cellStyle name="20% - Accent1 3 14" xfId="22024"/>
    <cellStyle name="20% - Accent1 3 2" xfId="7432"/>
    <cellStyle name="20% - Accent1 3 2 2" xfId="8872"/>
    <cellStyle name="20% - Accent1 3 2 2 2" xfId="11563"/>
    <cellStyle name="20% - Accent1 3 2 2 3" xfId="10250"/>
    <cellStyle name="20% - Accent1 3 2 2_Note Calc" xfId="26538"/>
    <cellStyle name="20% - Accent1 3 2 3" xfId="10875"/>
    <cellStyle name="20% - Accent1 3 2 4" xfId="9562"/>
    <cellStyle name="20% - Accent1 3 2_Forecast" xfId="22025"/>
    <cellStyle name="20% - Accent1 3 3" xfId="7433"/>
    <cellStyle name="20% - Accent1 3 3 2" xfId="8873"/>
    <cellStyle name="20% - Accent1 3 3 2 2" xfId="11564"/>
    <cellStyle name="20% - Accent1 3 3 2 3" xfId="10251"/>
    <cellStyle name="20% - Accent1 3 3 2_Note Calc" xfId="26539"/>
    <cellStyle name="20% - Accent1 3 3 3" xfId="10876"/>
    <cellStyle name="20% - Accent1 3 3 4" xfId="9563"/>
    <cellStyle name="20% - Accent1 3 3_Forecast" xfId="22026"/>
    <cellStyle name="20% - Accent1 3 4" xfId="7434"/>
    <cellStyle name="20% - Accent1 3 4 2" xfId="8874"/>
    <cellStyle name="20% - Accent1 3 4 2 2" xfId="11565"/>
    <cellStyle name="20% - Accent1 3 4 2 3" xfId="10252"/>
    <cellStyle name="20% - Accent1 3 4 2_Note Calc" xfId="26540"/>
    <cellStyle name="20% - Accent1 3 4 3" xfId="10877"/>
    <cellStyle name="20% - Accent1 3 4 4" xfId="9564"/>
    <cellStyle name="20% - Accent1 3 4_Forecast" xfId="22027"/>
    <cellStyle name="20% - Accent1 3 5" xfId="7435"/>
    <cellStyle name="20% - Accent1 3 5 2" xfId="8875"/>
    <cellStyle name="20% - Accent1 3 5 2 2" xfId="11566"/>
    <cellStyle name="20% - Accent1 3 5 2 3" xfId="10253"/>
    <cellStyle name="20% - Accent1 3 5 2_Note Calc" xfId="26541"/>
    <cellStyle name="20% - Accent1 3 5 3" xfId="10878"/>
    <cellStyle name="20% - Accent1 3 5 4" xfId="9565"/>
    <cellStyle name="20% - Accent1 3 5_Forecast" xfId="22028"/>
    <cellStyle name="20% - Accent1 3 6" xfId="7436"/>
    <cellStyle name="20% - Accent1 3 6 2" xfId="8876"/>
    <cellStyle name="20% - Accent1 3 6 2 2" xfId="11567"/>
    <cellStyle name="20% - Accent1 3 6 2 3" xfId="10254"/>
    <cellStyle name="20% - Accent1 3 6 2_Note Calc" xfId="26542"/>
    <cellStyle name="20% - Accent1 3 6 3" xfId="10879"/>
    <cellStyle name="20% - Accent1 3 6 4" xfId="9566"/>
    <cellStyle name="20% - Accent1 3 6_Forecast" xfId="22029"/>
    <cellStyle name="20% - Accent1 3 7" xfId="7437"/>
    <cellStyle name="20% - Accent1 3 7 2" xfId="8877"/>
    <cellStyle name="20% - Accent1 3 7 2 2" xfId="11568"/>
    <cellStyle name="20% - Accent1 3 7 2 3" xfId="10255"/>
    <cellStyle name="20% - Accent1 3 7 2_Note Calc" xfId="26543"/>
    <cellStyle name="20% - Accent1 3 7 3" xfId="10880"/>
    <cellStyle name="20% - Accent1 3 7 4" xfId="9567"/>
    <cellStyle name="20% - Accent1 3 7_Forecast" xfId="22030"/>
    <cellStyle name="20% - Accent1 3 8" xfId="7424"/>
    <cellStyle name="20% - Accent1 3 8 2" xfId="8864"/>
    <cellStyle name="20% - Accent1 3 8 2 2" xfId="11555"/>
    <cellStyle name="20% - Accent1 3 8 2 3" xfId="10242"/>
    <cellStyle name="20% - Accent1 3 8 2_Note Calc" xfId="26544"/>
    <cellStyle name="20% - Accent1 3 8 3" xfId="10867"/>
    <cellStyle name="20% - Accent1 3 8 4" xfId="9554"/>
    <cellStyle name="20% - Accent1 3 8_Forecast" xfId="22031"/>
    <cellStyle name="20% - Accent1 3 9" xfId="8486"/>
    <cellStyle name="20% - Accent1 3 9 2" xfId="9358"/>
    <cellStyle name="20% - Accent1 3 9 2 2" xfId="12049"/>
    <cellStyle name="20% - Accent1 3 9 2 3" xfId="10736"/>
    <cellStyle name="20% - Accent1 3 9 2_Note Calc" xfId="26545"/>
    <cellStyle name="20% - Accent1 3 9 3" xfId="11361"/>
    <cellStyle name="20% - Accent1 3 9 4" xfId="10048"/>
    <cellStyle name="20% - Accent1 3 9_Forecast" xfId="22032"/>
    <cellStyle name="20% - Accent1 3_Forecast" xfId="22033"/>
    <cellStyle name="20% - Accent1 30" xfId="12432"/>
    <cellStyle name="20% - Accent1 31" xfId="12433"/>
    <cellStyle name="20% - Accent1 32" xfId="12434"/>
    <cellStyle name="20% - Accent1 33" xfId="12435"/>
    <cellStyle name="20% - Accent1 34" xfId="12436"/>
    <cellStyle name="20% - Accent1 35" xfId="12437"/>
    <cellStyle name="20% - Accent1 36" xfId="12438"/>
    <cellStyle name="20% - Accent1 37" xfId="12439"/>
    <cellStyle name="20% - Accent1 38" xfId="12440"/>
    <cellStyle name="20% - Accent1 39" xfId="12441"/>
    <cellStyle name="20% - Accent1 4" xfId="7438"/>
    <cellStyle name="20% - Accent1 4 2" xfId="8878"/>
    <cellStyle name="20% - Accent1 4 2 2" xfId="11569"/>
    <cellStyle name="20% - Accent1 4 2 3" xfId="10256"/>
    <cellStyle name="20% - Accent1 4 2_Note Calc" xfId="26546"/>
    <cellStyle name="20% - Accent1 4 3" xfId="10881"/>
    <cellStyle name="20% - Accent1 4 4" xfId="9568"/>
    <cellStyle name="20% - Accent1 4 5" xfId="12442"/>
    <cellStyle name="20% - Accent1 4_Forecast" xfId="22034"/>
    <cellStyle name="20% - Accent1 40" xfId="12443"/>
    <cellStyle name="20% - Accent1 41" xfId="12444"/>
    <cellStyle name="20% - Accent1 42" xfId="12445"/>
    <cellStyle name="20% - Accent1 43" xfId="12446"/>
    <cellStyle name="20% - Accent1 44" xfId="12447"/>
    <cellStyle name="20% - Accent1 45" xfId="12448"/>
    <cellStyle name="20% - Accent1 46" xfId="12449"/>
    <cellStyle name="20% - Accent1 47" xfId="12450"/>
    <cellStyle name="20% - Accent1 48" xfId="12451"/>
    <cellStyle name="20% - Accent1 49" xfId="12452"/>
    <cellStyle name="20% - Accent1 5" xfId="7439"/>
    <cellStyle name="20% - Accent1 5 2" xfId="8879"/>
    <cellStyle name="20% - Accent1 5 2 2" xfId="11570"/>
    <cellStyle name="20% - Accent1 5 2 3" xfId="10257"/>
    <cellStyle name="20% - Accent1 5 2_Note Calc" xfId="26547"/>
    <cellStyle name="20% - Accent1 5 3" xfId="10882"/>
    <cellStyle name="20% - Accent1 5 4" xfId="9569"/>
    <cellStyle name="20% - Accent1 5 5" xfId="12453"/>
    <cellStyle name="20% - Accent1 5_Forecast" xfId="22035"/>
    <cellStyle name="20% - Accent1 50" xfId="12454"/>
    <cellStyle name="20% - Accent1 51" xfId="12455"/>
    <cellStyle name="20% - Accent1 52" xfId="12456"/>
    <cellStyle name="20% - Accent1 53" xfId="12457"/>
    <cellStyle name="20% - Accent1 54" xfId="12458"/>
    <cellStyle name="20% - Accent1 55" xfId="12459"/>
    <cellStyle name="20% - Accent1 56" xfId="12460"/>
    <cellStyle name="20% - Accent1 57" xfId="12461"/>
    <cellStyle name="20% - Accent1 58" xfId="12462"/>
    <cellStyle name="20% - Accent1 59" xfId="12463"/>
    <cellStyle name="20% - Accent1 6" xfId="7440"/>
    <cellStyle name="20% - Accent1 6 2" xfId="8880"/>
    <cellStyle name="20% - Accent1 6 2 2" xfId="11571"/>
    <cellStyle name="20% - Accent1 6 2 3" xfId="10258"/>
    <cellStyle name="20% - Accent1 6 2_Note Calc" xfId="26548"/>
    <cellStyle name="20% - Accent1 6 3" xfId="10883"/>
    <cellStyle name="20% - Accent1 6 4" xfId="9570"/>
    <cellStyle name="20% - Accent1 6 5" xfId="12464"/>
    <cellStyle name="20% - Accent1 6_Forecast" xfId="22036"/>
    <cellStyle name="20% - Accent1 60" xfId="12465"/>
    <cellStyle name="20% - Accent1 61" xfId="12466"/>
    <cellStyle name="20% - Accent1 62" xfId="12467"/>
    <cellStyle name="20% - Accent1 63" xfId="12468"/>
    <cellStyle name="20% - Accent1 64" xfId="12469"/>
    <cellStyle name="20% - Accent1 65" xfId="12470"/>
    <cellStyle name="20% - Accent1 66" xfId="12471"/>
    <cellStyle name="20% - Accent1 67" xfId="12472"/>
    <cellStyle name="20% - Accent1 68" xfId="12473"/>
    <cellStyle name="20% - Accent1 69" xfId="12474"/>
    <cellStyle name="20% - Accent1 7" xfId="7441"/>
    <cellStyle name="20% - Accent1 7 2" xfId="8881"/>
    <cellStyle name="20% - Accent1 7 2 2" xfId="11572"/>
    <cellStyle name="20% - Accent1 7 2 3" xfId="10259"/>
    <cellStyle name="20% - Accent1 7 2_Note Calc" xfId="26549"/>
    <cellStyle name="20% - Accent1 7 3" xfId="10884"/>
    <cellStyle name="20% - Accent1 7 4" xfId="9571"/>
    <cellStyle name="20% - Accent1 7 5" xfId="12475"/>
    <cellStyle name="20% - Accent1 7_Forecast" xfId="22037"/>
    <cellStyle name="20% - Accent1 70" xfId="12476"/>
    <cellStyle name="20% - Accent1 71" xfId="12477"/>
    <cellStyle name="20% - Accent1 72" xfId="12478"/>
    <cellStyle name="20% - Accent1 73" xfId="12479"/>
    <cellStyle name="20% - Accent1 74" xfId="12480"/>
    <cellStyle name="20% - Accent1 75" xfId="12481"/>
    <cellStyle name="20% - Accent1 76" xfId="12482"/>
    <cellStyle name="20% - Accent1 77" xfId="12483"/>
    <cellStyle name="20% - Accent1 78" xfId="12484"/>
    <cellStyle name="20% - Accent1 79" xfId="12485"/>
    <cellStyle name="20% - Accent1 8" xfId="7442"/>
    <cellStyle name="20% - Accent1 8 2" xfId="8882"/>
    <cellStyle name="20% - Accent1 8 2 2" xfId="11573"/>
    <cellStyle name="20% - Accent1 8 2 3" xfId="10260"/>
    <cellStyle name="20% - Accent1 8 2_Note Calc" xfId="26550"/>
    <cellStyle name="20% - Accent1 8 3" xfId="10885"/>
    <cellStyle name="20% - Accent1 8 4" xfId="9572"/>
    <cellStyle name="20% - Accent1 8 5" xfId="12486"/>
    <cellStyle name="20% - Accent1 8_Forecast" xfId="22038"/>
    <cellStyle name="20% - Accent1 80" xfId="12487"/>
    <cellStyle name="20% - Accent1 81" xfId="12488"/>
    <cellStyle name="20% - Accent1 82" xfId="12489"/>
    <cellStyle name="20% - Accent1 83" xfId="12490"/>
    <cellStyle name="20% - Accent1 84" xfId="12491"/>
    <cellStyle name="20% - Accent1 85" xfId="12492"/>
    <cellStyle name="20% - Accent1 86" xfId="12493"/>
    <cellStyle name="20% - Accent1 87" xfId="12494"/>
    <cellStyle name="20% - Accent1 88" xfId="12495"/>
    <cellStyle name="20% - Accent1 89" xfId="12496"/>
    <cellStyle name="20% - Accent1 9" xfId="7443"/>
    <cellStyle name="20% - Accent1 9 2" xfId="8883"/>
    <cellStyle name="20% - Accent1 9 2 2" xfId="11574"/>
    <cellStyle name="20% - Accent1 9 2 3" xfId="10261"/>
    <cellStyle name="20% - Accent1 9 2_Note Calc" xfId="26551"/>
    <cellStyle name="20% - Accent1 9 3" xfId="10886"/>
    <cellStyle name="20% - Accent1 9 4" xfId="9573"/>
    <cellStyle name="20% - Accent1 9 5" xfId="12497"/>
    <cellStyle name="20% - Accent1 9_Forecast" xfId="22039"/>
    <cellStyle name="20% - Accent1 90" xfId="12498"/>
    <cellStyle name="20% - Accent1 91" xfId="12499"/>
    <cellStyle name="20% - Accent1 92" xfId="12500"/>
    <cellStyle name="20% - Accent1 93" xfId="12501"/>
    <cellStyle name="20% - Accent1 94" xfId="12502"/>
    <cellStyle name="20% - Accent1 95" xfId="12503"/>
    <cellStyle name="20% - Accent1 96" xfId="12504"/>
    <cellStyle name="20% - Accent1 97" xfId="12505"/>
    <cellStyle name="20% - Accent1 98" xfId="12506"/>
    <cellStyle name="20% - Accent1 99" xfId="12507"/>
    <cellStyle name="20% - Accent2" xfId="32" builtinId="34" customBuiltin="1"/>
    <cellStyle name="20% - Accent2 10" xfId="8777"/>
    <cellStyle name="20% - Accent2 10 2" xfId="11469"/>
    <cellStyle name="20% - Accent2 10 3" xfId="10156"/>
    <cellStyle name="20% - Accent2 10 4" xfId="12508"/>
    <cellStyle name="20% - Accent2 10_Note Calc" xfId="26552"/>
    <cellStyle name="20% - Accent2 100" xfId="12509"/>
    <cellStyle name="20% - Accent2 101" xfId="12510"/>
    <cellStyle name="20% - Accent2 102" xfId="12511"/>
    <cellStyle name="20% - Accent2 103" xfId="12512"/>
    <cellStyle name="20% - Accent2 104" xfId="12513"/>
    <cellStyle name="20% - Accent2 105" xfId="12514"/>
    <cellStyle name="20% - Accent2 106" xfId="12515"/>
    <cellStyle name="20% - Accent2 107" xfId="12516"/>
    <cellStyle name="20% - Accent2 108" xfId="12517"/>
    <cellStyle name="20% - Accent2 109" xfId="12518"/>
    <cellStyle name="20% - Accent2 11" xfId="10781"/>
    <cellStyle name="20% - Accent2 11 2" xfId="12519"/>
    <cellStyle name="20% - Accent2 11_Forecast" xfId="22040"/>
    <cellStyle name="20% - Accent2 110" xfId="12520"/>
    <cellStyle name="20% - Accent2 111" xfId="12521"/>
    <cellStyle name="20% - Accent2 112" xfId="12522"/>
    <cellStyle name="20% - Accent2 113" xfId="12523"/>
    <cellStyle name="20% - Accent2 114" xfId="12524"/>
    <cellStyle name="20% - Accent2 115" xfId="12525"/>
    <cellStyle name="20% - Accent2 116" xfId="12526"/>
    <cellStyle name="20% - Accent2 117" xfId="12527"/>
    <cellStyle name="20% - Accent2 118" xfId="12528"/>
    <cellStyle name="20% - Accent2 119" xfId="12529"/>
    <cellStyle name="20% - Accent2 12" xfId="9468"/>
    <cellStyle name="20% - Accent2 12 2" xfId="12530"/>
    <cellStyle name="20% - Accent2 12_Forecast" xfId="22041"/>
    <cellStyle name="20% - Accent2 120" xfId="12531"/>
    <cellStyle name="20% - Accent2 121" xfId="12532"/>
    <cellStyle name="20% - Accent2 122" xfId="12533"/>
    <cellStyle name="20% - Accent2 123" xfId="12534"/>
    <cellStyle name="20% - Accent2 124" xfId="12535"/>
    <cellStyle name="20% - Accent2 125" xfId="12536"/>
    <cellStyle name="20% - Accent2 126" xfId="12537"/>
    <cellStyle name="20% - Accent2 127" xfId="12538"/>
    <cellStyle name="20% - Accent2 128" xfId="12539"/>
    <cellStyle name="20% - Accent2 129" xfId="12540"/>
    <cellStyle name="20% - Accent2 13" xfId="12239"/>
    <cellStyle name="20% - Accent2 13 2" xfId="12541"/>
    <cellStyle name="20% - Accent2 13_Note Calc" xfId="26553"/>
    <cellStyle name="20% - Accent2 130" xfId="12542"/>
    <cellStyle name="20% - Accent2 131" xfId="12543"/>
    <cellStyle name="20% - Accent2 132" xfId="12544"/>
    <cellStyle name="20% - Accent2 133" xfId="12545"/>
    <cellStyle name="20% - Accent2 134" xfId="12546"/>
    <cellStyle name="20% - Accent2 135" xfId="12547"/>
    <cellStyle name="20% - Accent2 136" xfId="12548"/>
    <cellStyle name="20% - Accent2 137" xfId="12549"/>
    <cellStyle name="20% - Accent2 138" xfId="12550"/>
    <cellStyle name="20% - Accent2 139" xfId="12551"/>
    <cellStyle name="20% - Accent2 14" xfId="12552"/>
    <cellStyle name="20% - Accent2 140" xfId="12553"/>
    <cellStyle name="20% - Accent2 141" xfId="12554"/>
    <cellStyle name="20% - Accent2 142" xfId="12555"/>
    <cellStyle name="20% - Accent2 143" xfId="12556"/>
    <cellStyle name="20% - Accent2 144" xfId="12557"/>
    <cellStyle name="20% - Accent2 145" xfId="12558"/>
    <cellStyle name="20% - Accent2 146" xfId="12559"/>
    <cellStyle name="20% - Accent2 147" xfId="12560"/>
    <cellStyle name="20% - Accent2 148" xfId="12561"/>
    <cellStyle name="20% - Accent2 149" xfId="12562"/>
    <cellStyle name="20% - Accent2 15" xfId="12563"/>
    <cellStyle name="20% - Accent2 150" xfId="12564"/>
    <cellStyle name="20% - Accent2 151" xfId="12565"/>
    <cellStyle name="20% - Accent2 152" xfId="12566"/>
    <cellStyle name="20% - Accent2 153" xfId="12567"/>
    <cellStyle name="20% - Accent2 154" xfId="12568"/>
    <cellStyle name="20% - Accent2 155" xfId="12569"/>
    <cellStyle name="20% - Accent2 156" xfId="12570"/>
    <cellStyle name="20% - Accent2 157" xfId="12571"/>
    <cellStyle name="20% - Accent2 158" xfId="12572"/>
    <cellStyle name="20% - Accent2 159" xfId="12573"/>
    <cellStyle name="20% - Accent2 16" xfId="12574"/>
    <cellStyle name="20% - Accent2 160" xfId="12575"/>
    <cellStyle name="20% - Accent2 161" xfId="12576"/>
    <cellStyle name="20% - Accent2 162" xfId="12577"/>
    <cellStyle name="20% - Accent2 163" xfId="12578"/>
    <cellStyle name="20% - Accent2 163 2" xfId="21304"/>
    <cellStyle name="20% - Accent2 163 3" xfId="21305"/>
    <cellStyle name="20% - Accent2 163_Note Calc" xfId="26554"/>
    <cellStyle name="20% - Accent2 164" xfId="12579"/>
    <cellStyle name="20% - Accent2 165" xfId="12580"/>
    <cellStyle name="20% - Accent2 166" xfId="12581"/>
    <cellStyle name="20% - Accent2 167" xfId="12582"/>
    <cellStyle name="20% - Accent2 168" xfId="12583"/>
    <cellStyle name="20% - Accent2 169" xfId="12584"/>
    <cellStyle name="20% - Accent2 17" xfId="12585"/>
    <cellStyle name="20% - Accent2 170" xfId="12586"/>
    <cellStyle name="20% - Accent2 171" xfId="12587"/>
    <cellStyle name="20% - Accent2 172" xfId="12588"/>
    <cellStyle name="20% - Accent2 173" xfId="12589"/>
    <cellStyle name="20% - Accent2 174" xfId="12590"/>
    <cellStyle name="20% - Accent2 175" xfId="12591"/>
    <cellStyle name="20% - Accent2 176" xfId="12592"/>
    <cellStyle name="20% - Accent2 177" xfId="12593"/>
    <cellStyle name="20% - Accent2 178" xfId="12594"/>
    <cellStyle name="20% - Accent2 179" xfId="12595"/>
    <cellStyle name="20% - Accent2 18" xfId="12596"/>
    <cellStyle name="20% - Accent2 180" xfId="12597"/>
    <cellStyle name="20% - Accent2 181" xfId="12598"/>
    <cellStyle name="20% - Accent2 182" xfId="12599"/>
    <cellStyle name="20% - Accent2 183" xfId="12600"/>
    <cellStyle name="20% - Accent2 184" xfId="12601"/>
    <cellStyle name="20% - Accent2 185" xfId="12602"/>
    <cellStyle name="20% - Accent2 186" xfId="12603"/>
    <cellStyle name="20% - Accent2 187" xfId="12604"/>
    <cellStyle name="20% - Accent2 188" xfId="12605"/>
    <cellStyle name="20% - Accent2 189" xfId="12606"/>
    <cellStyle name="20% - Accent2 19" xfId="12607"/>
    <cellStyle name="20% - Accent2 190" xfId="12608"/>
    <cellStyle name="20% - Accent2 191" xfId="12609"/>
    <cellStyle name="20% - Accent2 192" xfId="12610"/>
    <cellStyle name="20% - Accent2 193" xfId="12611"/>
    <cellStyle name="20% - Accent2 194" xfId="12612"/>
    <cellStyle name="20% - Accent2 195" xfId="12613"/>
    <cellStyle name="20% - Accent2 196" xfId="12614"/>
    <cellStyle name="20% - Accent2 197" xfId="12615"/>
    <cellStyle name="20% - Accent2 198" xfId="12616"/>
    <cellStyle name="20% - Accent2 199" xfId="12617"/>
    <cellStyle name="20% - Accent2 2" xfId="33"/>
    <cellStyle name="20% - Accent2 2 10" xfId="34"/>
    <cellStyle name="20% - Accent2 2 11" xfId="35"/>
    <cellStyle name="20% - Accent2 2 12" xfId="36"/>
    <cellStyle name="20% - Accent2 2 13" xfId="37"/>
    <cellStyle name="20% - Accent2 2 14" xfId="38"/>
    <cellStyle name="20% - Accent2 2 15" xfId="39"/>
    <cellStyle name="20% - Accent2 2 16" xfId="40"/>
    <cellStyle name="20% - Accent2 2 17" xfId="41"/>
    <cellStyle name="20% - Accent2 2 18" xfId="42"/>
    <cellStyle name="20% - Accent2 2 19" xfId="43"/>
    <cellStyle name="20% - Accent2 2 2" xfId="44"/>
    <cellStyle name="20% - Accent2 2 2 2" xfId="7445"/>
    <cellStyle name="20% - Accent2 2 2 2 2" xfId="8885"/>
    <cellStyle name="20% - Accent2 2 2 2 2 2" xfId="11576"/>
    <cellStyle name="20% - Accent2 2 2 2 2 3" xfId="10263"/>
    <cellStyle name="20% - Accent2 2 2 2 2_Note Calc" xfId="26555"/>
    <cellStyle name="20% - Accent2 2 2 2 3" xfId="10888"/>
    <cellStyle name="20% - Accent2 2 2 2 4" xfId="9575"/>
    <cellStyle name="20% - Accent2 2 2 2_Forecast" xfId="22042"/>
    <cellStyle name="20% - Accent2 2 2 3" xfId="7775"/>
    <cellStyle name="20% - Accent2 2 2 3 2" xfId="9099"/>
    <cellStyle name="20% - Accent2 2 2 3 2 2" xfId="11790"/>
    <cellStyle name="20% - Accent2 2 2 3 2 3" xfId="10477"/>
    <cellStyle name="20% - Accent2 2 2 3 2_Note Calc" xfId="26556"/>
    <cellStyle name="20% - Accent2 2 2 3 3" xfId="11102"/>
    <cellStyle name="20% - Accent2 2 2 3 4" xfId="9789"/>
    <cellStyle name="20% - Accent2 2 2 3_Forecast" xfId="22043"/>
    <cellStyle name="20% - Accent2 2 2 4" xfId="8462"/>
    <cellStyle name="20% - Accent2 2 2 4 2" xfId="9356"/>
    <cellStyle name="20% - Accent2 2 2 4 2 2" xfId="12047"/>
    <cellStyle name="20% - Accent2 2 2 4 2 3" xfId="10734"/>
    <cellStyle name="20% - Accent2 2 2 4 2_Note Calc" xfId="26557"/>
    <cellStyle name="20% - Accent2 2 2 4 3" xfId="11359"/>
    <cellStyle name="20% - Accent2 2 2 4 4" xfId="10046"/>
    <cellStyle name="20% - Accent2 2 2 4_Forecast" xfId="22044"/>
    <cellStyle name="20% - Accent2 2 2 5" xfId="21306"/>
    <cellStyle name="20% - Accent2 2 2_SFPR" xfId="21862"/>
    <cellStyle name="20% - Accent2 2 20" xfId="45"/>
    <cellStyle name="20% - Accent2 2 21" xfId="46"/>
    <cellStyle name="20% - Accent2 2 22" xfId="47"/>
    <cellStyle name="20% - Accent2 2 23" xfId="48"/>
    <cellStyle name="20% - Accent2 2 24" xfId="49"/>
    <cellStyle name="20% - Accent2 2 25" xfId="50"/>
    <cellStyle name="20% - Accent2 2 26" xfId="51"/>
    <cellStyle name="20% - Accent2 2 27" xfId="52"/>
    <cellStyle name="20% - Accent2 2 28" xfId="53"/>
    <cellStyle name="20% - Accent2 2 29" xfId="54"/>
    <cellStyle name="20% - Accent2 2 3" xfId="55"/>
    <cellStyle name="20% - Accent2 2 3 2" xfId="7446"/>
    <cellStyle name="20% - Accent2 2 3 2 2" xfId="8886"/>
    <cellStyle name="20% - Accent2 2 3 2 2 2" xfId="11577"/>
    <cellStyle name="20% - Accent2 2 3 2 2 3" xfId="10264"/>
    <cellStyle name="20% - Accent2 2 3 2 2_Note Calc" xfId="26558"/>
    <cellStyle name="20% - Accent2 2 3 2 3" xfId="10889"/>
    <cellStyle name="20% - Accent2 2 3 2 4" xfId="9576"/>
    <cellStyle name="20% - Accent2 2 3 2_Forecast" xfId="22045"/>
    <cellStyle name="20% - Accent2 2 3 3" xfId="7755"/>
    <cellStyle name="20% - Accent2 2 3 3 2" xfId="9098"/>
    <cellStyle name="20% - Accent2 2 3 3 2 2" xfId="11789"/>
    <cellStyle name="20% - Accent2 2 3 3 2 3" xfId="10476"/>
    <cellStyle name="20% - Accent2 2 3 3 2_Note Calc" xfId="26559"/>
    <cellStyle name="20% - Accent2 2 3 3 3" xfId="11101"/>
    <cellStyle name="20% - Accent2 2 3 3 4" xfId="9788"/>
    <cellStyle name="20% - Accent2 2 3 3_Forecast" xfId="22046"/>
    <cellStyle name="20% - Accent2 2 3 4" xfId="8461"/>
    <cellStyle name="20% - Accent2 2 3 4 2" xfId="9355"/>
    <cellStyle name="20% - Accent2 2 3 4 2 2" xfId="12046"/>
    <cellStyle name="20% - Accent2 2 3 4 2 3" xfId="10733"/>
    <cellStyle name="20% - Accent2 2 3 4 2_Note Calc" xfId="26560"/>
    <cellStyle name="20% - Accent2 2 3 4 3" xfId="11358"/>
    <cellStyle name="20% - Accent2 2 3 4 4" xfId="10045"/>
    <cellStyle name="20% - Accent2 2 3 4_Forecast" xfId="22047"/>
    <cellStyle name="20% - Accent2 2 3 5" xfId="21307"/>
    <cellStyle name="20% - Accent2 2 3_SFPR" xfId="21863"/>
    <cellStyle name="20% - Accent2 2 30" xfId="56"/>
    <cellStyle name="20% - Accent2 2 31" xfId="7444"/>
    <cellStyle name="20% - Accent2 2 31 2" xfId="8884"/>
    <cellStyle name="20% - Accent2 2 31 2 2" xfId="11575"/>
    <cellStyle name="20% - Accent2 2 31 2 3" xfId="10262"/>
    <cellStyle name="20% - Accent2 2 31 2_Note Calc" xfId="26561"/>
    <cellStyle name="20% - Accent2 2 31 3" xfId="10887"/>
    <cellStyle name="20% - Accent2 2 31 4" xfId="9574"/>
    <cellStyle name="20% - Accent2 2 31_Forecast" xfId="22048"/>
    <cellStyle name="20% - Accent2 2 32" xfId="7795"/>
    <cellStyle name="20% - Accent2 2 32 2" xfId="9100"/>
    <cellStyle name="20% - Accent2 2 32 2 2" xfId="11791"/>
    <cellStyle name="20% - Accent2 2 32 2 3" xfId="10478"/>
    <cellStyle name="20% - Accent2 2 32 2_Note Calc" xfId="26562"/>
    <cellStyle name="20% - Accent2 2 32 3" xfId="11103"/>
    <cellStyle name="20% - Accent2 2 32 4" xfId="9790"/>
    <cellStyle name="20% - Accent2 2 32_Forecast" xfId="22049"/>
    <cellStyle name="20% - Accent2 2 33" xfId="8463"/>
    <cellStyle name="20% - Accent2 2 33 2" xfId="9357"/>
    <cellStyle name="20% - Accent2 2 33 2 2" xfId="12048"/>
    <cellStyle name="20% - Accent2 2 33 2 3" xfId="10735"/>
    <cellStyle name="20% - Accent2 2 33 2_Note Calc" xfId="26563"/>
    <cellStyle name="20% - Accent2 2 33 3" xfId="11360"/>
    <cellStyle name="20% - Accent2 2 33 4" xfId="10047"/>
    <cellStyle name="20% - Accent2 2 33_Forecast" xfId="22050"/>
    <cellStyle name="20% - Accent2 2 34" xfId="12100"/>
    <cellStyle name="20% - Accent2 2 35" xfId="12618"/>
    <cellStyle name="20% - Accent2 2 36" xfId="26564"/>
    <cellStyle name="20% - Accent2 2 4" xfId="57"/>
    <cellStyle name="20% - Accent2 2 4 2" xfId="7447"/>
    <cellStyle name="20% - Accent2 2 4 2 2" xfId="8887"/>
    <cellStyle name="20% - Accent2 2 4 2 2 2" xfId="11578"/>
    <cellStyle name="20% - Accent2 2 4 2 2 3" xfId="10265"/>
    <cellStyle name="20% - Accent2 2 4 2 2_Note Calc" xfId="26565"/>
    <cellStyle name="20% - Accent2 2 4 2 3" xfId="10890"/>
    <cellStyle name="20% - Accent2 2 4 2 4" xfId="9577"/>
    <cellStyle name="20% - Accent2 2 4 2_Forecast" xfId="22051"/>
    <cellStyle name="20% - Accent2 2 4 3" xfId="7735"/>
    <cellStyle name="20% - Accent2 2 4 3 2" xfId="9097"/>
    <cellStyle name="20% - Accent2 2 4 3 2 2" xfId="11788"/>
    <cellStyle name="20% - Accent2 2 4 3 2 3" xfId="10475"/>
    <cellStyle name="20% - Accent2 2 4 3 2_Note Calc" xfId="26566"/>
    <cellStyle name="20% - Accent2 2 4 3 3" xfId="11100"/>
    <cellStyle name="20% - Accent2 2 4 3 4" xfId="9787"/>
    <cellStyle name="20% - Accent2 2 4 3_Forecast" xfId="22052"/>
    <cellStyle name="20% - Accent2 2 4 4" xfId="8460"/>
    <cellStyle name="20% - Accent2 2 4 4 2" xfId="9354"/>
    <cellStyle name="20% - Accent2 2 4 4 2 2" xfId="12045"/>
    <cellStyle name="20% - Accent2 2 4 4 2 3" xfId="10732"/>
    <cellStyle name="20% - Accent2 2 4 4 2_Note Calc" xfId="26567"/>
    <cellStyle name="20% - Accent2 2 4 4 3" xfId="11357"/>
    <cellStyle name="20% - Accent2 2 4 4 4" xfId="10044"/>
    <cellStyle name="20% - Accent2 2 4 4_Forecast" xfId="22053"/>
    <cellStyle name="20% - Accent2 2 4 5" xfId="21308"/>
    <cellStyle name="20% - Accent2 2 4_SFPR" xfId="21864"/>
    <cellStyle name="20% - Accent2 2 5" xfId="58"/>
    <cellStyle name="20% - Accent2 2 5 2" xfId="7448"/>
    <cellStyle name="20% - Accent2 2 5 2 2" xfId="8888"/>
    <cellStyle name="20% - Accent2 2 5 2 2 2" xfId="11579"/>
    <cellStyle name="20% - Accent2 2 5 2 2 3" xfId="10266"/>
    <cellStyle name="20% - Accent2 2 5 2 2_Note Calc" xfId="26568"/>
    <cellStyle name="20% - Accent2 2 5 2 3" xfId="10891"/>
    <cellStyle name="20% - Accent2 2 5 2 4" xfId="9578"/>
    <cellStyle name="20% - Accent2 2 5 2_Forecast" xfId="22054"/>
    <cellStyle name="20% - Accent2 2 5 3" xfId="7715"/>
    <cellStyle name="20% - Accent2 2 5 3 2" xfId="9096"/>
    <cellStyle name="20% - Accent2 2 5 3 2 2" xfId="11787"/>
    <cellStyle name="20% - Accent2 2 5 3 2 3" xfId="10474"/>
    <cellStyle name="20% - Accent2 2 5 3 2_Note Calc" xfId="26569"/>
    <cellStyle name="20% - Accent2 2 5 3 3" xfId="11099"/>
    <cellStyle name="20% - Accent2 2 5 3 4" xfId="9786"/>
    <cellStyle name="20% - Accent2 2 5 3_Forecast" xfId="22055"/>
    <cellStyle name="20% - Accent2 2 5 4" xfId="8459"/>
    <cellStyle name="20% - Accent2 2 5 4 2" xfId="9353"/>
    <cellStyle name="20% - Accent2 2 5 4 2 2" xfId="12044"/>
    <cellStyle name="20% - Accent2 2 5 4 2 3" xfId="10731"/>
    <cellStyle name="20% - Accent2 2 5 4 2_Note Calc" xfId="26570"/>
    <cellStyle name="20% - Accent2 2 5 4 3" xfId="11356"/>
    <cellStyle name="20% - Accent2 2 5 4 4" xfId="10043"/>
    <cellStyle name="20% - Accent2 2 5 4_Forecast" xfId="22056"/>
    <cellStyle name="20% - Accent2 2 6" xfId="59"/>
    <cellStyle name="20% - Accent2 2 6 2" xfId="7449"/>
    <cellStyle name="20% - Accent2 2 6 2 2" xfId="8889"/>
    <cellStyle name="20% - Accent2 2 6 2 2 2" xfId="11580"/>
    <cellStyle name="20% - Accent2 2 6 2 2 3" xfId="10267"/>
    <cellStyle name="20% - Accent2 2 6 2 2_Note Calc" xfId="26571"/>
    <cellStyle name="20% - Accent2 2 6 2 3" xfId="10892"/>
    <cellStyle name="20% - Accent2 2 6 2 4" xfId="9579"/>
    <cellStyle name="20% - Accent2 2 6 2_Forecast" xfId="22057"/>
    <cellStyle name="20% - Accent2 2 6 3" xfId="7695"/>
    <cellStyle name="20% - Accent2 2 6 3 2" xfId="9095"/>
    <cellStyle name="20% - Accent2 2 6 3 2 2" xfId="11786"/>
    <cellStyle name="20% - Accent2 2 6 3 2 3" xfId="10473"/>
    <cellStyle name="20% - Accent2 2 6 3 2_Note Calc" xfId="26572"/>
    <cellStyle name="20% - Accent2 2 6 3 3" xfId="11098"/>
    <cellStyle name="20% - Accent2 2 6 3 4" xfId="9785"/>
    <cellStyle name="20% - Accent2 2 6 3_Forecast" xfId="22058"/>
    <cellStyle name="20% - Accent2 2 6 4" xfId="8458"/>
    <cellStyle name="20% - Accent2 2 6 4 2" xfId="9352"/>
    <cellStyle name="20% - Accent2 2 6 4 2 2" xfId="12043"/>
    <cellStyle name="20% - Accent2 2 6 4 2 3" xfId="10730"/>
    <cellStyle name="20% - Accent2 2 6 4 2_Note Calc" xfId="26573"/>
    <cellStyle name="20% - Accent2 2 6 4 3" xfId="11355"/>
    <cellStyle name="20% - Accent2 2 6 4 4" xfId="10042"/>
    <cellStyle name="20% - Accent2 2 6 4_Forecast" xfId="22059"/>
    <cellStyle name="20% - Accent2 2 7" xfId="60"/>
    <cellStyle name="20% - Accent2 2 7 2" xfId="7450"/>
    <cellStyle name="20% - Accent2 2 7 2 2" xfId="8890"/>
    <cellStyle name="20% - Accent2 2 7 2 2 2" xfId="11581"/>
    <cellStyle name="20% - Accent2 2 7 2 2 3" xfId="10268"/>
    <cellStyle name="20% - Accent2 2 7 2 2_Note Calc" xfId="26574"/>
    <cellStyle name="20% - Accent2 2 7 2 3" xfId="10893"/>
    <cellStyle name="20% - Accent2 2 7 2 4" xfId="9580"/>
    <cellStyle name="20% - Accent2 2 7 2_Forecast" xfId="22060"/>
    <cellStyle name="20% - Accent2 2 7 3" xfId="7675"/>
    <cellStyle name="20% - Accent2 2 7 3 2" xfId="9094"/>
    <cellStyle name="20% - Accent2 2 7 3 2 2" xfId="11785"/>
    <cellStyle name="20% - Accent2 2 7 3 2 3" xfId="10472"/>
    <cellStyle name="20% - Accent2 2 7 3 2_Note Calc" xfId="26575"/>
    <cellStyle name="20% - Accent2 2 7 3 3" xfId="11097"/>
    <cellStyle name="20% - Accent2 2 7 3 4" xfId="9784"/>
    <cellStyle name="20% - Accent2 2 7 3_Forecast" xfId="22061"/>
    <cellStyle name="20% - Accent2 2 7 4" xfId="8457"/>
    <cellStyle name="20% - Accent2 2 7 4 2" xfId="9351"/>
    <cellStyle name="20% - Accent2 2 7 4 2 2" xfId="12042"/>
    <cellStyle name="20% - Accent2 2 7 4 2 3" xfId="10729"/>
    <cellStyle name="20% - Accent2 2 7 4 2_Note Calc" xfId="26576"/>
    <cellStyle name="20% - Accent2 2 7 4 3" xfId="11354"/>
    <cellStyle name="20% - Accent2 2 7 4 4" xfId="10041"/>
    <cellStyle name="20% - Accent2 2 7 4_Forecast" xfId="22062"/>
    <cellStyle name="20% - Accent2 2 8" xfId="61"/>
    <cellStyle name="20% - Accent2 2 9" xfId="62"/>
    <cellStyle name="20% - Accent2 2_Forecast" xfId="22063"/>
    <cellStyle name="20% - Accent2 20" xfId="12619"/>
    <cellStyle name="20% - Accent2 200" xfId="12620"/>
    <cellStyle name="20% - Accent2 201" xfId="12621"/>
    <cellStyle name="20% - Accent2 202" xfId="12622"/>
    <cellStyle name="20% - Accent2 203" xfId="12623"/>
    <cellStyle name="20% - Accent2 204" xfId="12624"/>
    <cellStyle name="20% - Accent2 205" xfId="12625"/>
    <cellStyle name="20% - Accent2 206" xfId="12626"/>
    <cellStyle name="20% - Accent2 207" xfId="12627"/>
    <cellStyle name="20% - Accent2 208" xfId="12628"/>
    <cellStyle name="20% - Accent2 209" xfId="12629"/>
    <cellStyle name="20% - Accent2 21" xfId="12630"/>
    <cellStyle name="20% - Accent2 210" xfId="12631"/>
    <cellStyle name="20% - Accent2 211" xfId="12632"/>
    <cellStyle name="20% - Accent2 212" xfId="12633"/>
    <cellStyle name="20% - Accent2 213" xfId="12634"/>
    <cellStyle name="20% - Accent2 214" xfId="12635"/>
    <cellStyle name="20% - Accent2 215" xfId="12636"/>
    <cellStyle name="20% - Accent2 216" xfId="12637"/>
    <cellStyle name="20% - Accent2 217" xfId="12638"/>
    <cellStyle name="20% - Accent2 218" xfId="12639"/>
    <cellStyle name="20% - Accent2 219" xfId="12640"/>
    <cellStyle name="20% - Accent2 22" xfId="12641"/>
    <cellStyle name="20% - Accent2 220" xfId="12642"/>
    <cellStyle name="20% - Accent2 221" xfId="12643"/>
    <cellStyle name="20% - Accent2 222" xfId="12644"/>
    <cellStyle name="20% - Accent2 223" xfId="12645"/>
    <cellStyle name="20% - Accent2 224" xfId="12646"/>
    <cellStyle name="20% - Accent2 225" xfId="12647"/>
    <cellStyle name="20% - Accent2 226" xfId="12648"/>
    <cellStyle name="20% - Accent2 227" xfId="12649"/>
    <cellStyle name="20% - Accent2 228" xfId="12650"/>
    <cellStyle name="20% - Accent2 229" xfId="12651"/>
    <cellStyle name="20% - Accent2 23" xfId="12652"/>
    <cellStyle name="20% - Accent2 230" xfId="12653"/>
    <cellStyle name="20% - Accent2 231" xfId="12654"/>
    <cellStyle name="20% - Accent2 232" xfId="12655"/>
    <cellStyle name="20% - Accent2 233" xfId="12656"/>
    <cellStyle name="20% - Accent2 234" xfId="12657"/>
    <cellStyle name="20% - Accent2 235" xfId="12658"/>
    <cellStyle name="20% - Accent2 236" xfId="12659"/>
    <cellStyle name="20% - Accent2 237" xfId="12660"/>
    <cellStyle name="20% - Accent2 238" xfId="12661"/>
    <cellStyle name="20% - Accent2 239" xfId="12662"/>
    <cellStyle name="20% - Accent2 24" xfId="12663"/>
    <cellStyle name="20% - Accent2 240" xfId="12664"/>
    <cellStyle name="20% - Accent2 241" xfId="12665"/>
    <cellStyle name="20% - Accent2 242" xfId="12666"/>
    <cellStyle name="20% - Accent2 243" xfId="12667"/>
    <cellStyle name="20% - Accent2 244" xfId="12668"/>
    <cellStyle name="20% - Accent2 245" xfId="21309"/>
    <cellStyle name="20% - Accent2 246" xfId="21310"/>
    <cellStyle name="20% - Accent2 247" xfId="21311"/>
    <cellStyle name="20% - Accent2 248" xfId="21312"/>
    <cellStyle name="20% - Accent2 249" xfId="21313"/>
    <cellStyle name="20% - Accent2 25" xfId="12669"/>
    <cellStyle name="20% - Accent2 250" xfId="21314"/>
    <cellStyle name="20% - Accent2 251" xfId="21315"/>
    <cellStyle name="20% - Accent2 252" xfId="21316"/>
    <cellStyle name="20% - Accent2 253" xfId="21317"/>
    <cellStyle name="20% - Accent2 254" xfId="21318"/>
    <cellStyle name="20% - Accent2 255" xfId="21319"/>
    <cellStyle name="20% - Accent2 256" xfId="21320"/>
    <cellStyle name="20% - Accent2 257" xfId="21321"/>
    <cellStyle name="20% - Accent2 258" xfId="21780"/>
    <cellStyle name="20% - Accent2 259" xfId="21781"/>
    <cellStyle name="20% - Accent2 26" xfId="12670"/>
    <cellStyle name="20% - Accent2 260" xfId="21782"/>
    <cellStyle name="20% - Accent2 261" xfId="21783"/>
    <cellStyle name="20% - Accent2 262" xfId="21727"/>
    <cellStyle name="20% - Accent2 263" xfId="21970"/>
    <cellStyle name="20% - Accent2 264" xfId="21898"/>
    <cellStyle name="20% - Accent2 265" xfId="26577"/>
    <cellStyle name="20% - Accent2 27" xfId="12671"/>
    <cellStyle name="20% - Accent2 28" xfId="12672"/>
    <cellStyle name="20% - Accent2 29" xfId="12673"/>
    <cellStyle name="20% - Accent2 3" xfId="7412"/>
    <cellStyle name="20% - Accent2 3 10" xfId="8854"/>
    <cellStyle name="20% - Accent2 3 10 2" xfId="11545"/>
    <cellStyle name="20% - Accent2 3 10 3" xfId="10232"/>
    <cellStyle name="20% - Accent2 3 10_Note Calc" xfId="26578"/>
    <cellStyle name="20% - Accent2 3 11" xfId="10857"/>
    <cellStyle name="20% - Accent2 3 12" xfId="9544"/>
    <cellStyle name="20% - Accent2 3 12 2" xfId="22064"/>
    <cellStyle name="20% - Accent2 3 12_Forecast" xfId="22065"/>
    <cellStyle name="20% - Accent2 3 13" xfId="12674"/>
    <cellStyle name="20% - Accent2 3 14" xfId="22066"/>
    <cellStyle name="20% - Accent2 3 2" xfId="7451"/>
    <cellStyle name="20% - Accent2 3 2 2" xfId="8891"/>
    <cellStyle name="20% - Accent2 3 2 2 2" xfId="11582"/>
    <cellStyle name="20% - Accent2 3 2 2 3" xfId="10269"/>
    <cellStyle name="20% - Accent2 3 2 2_Note Calc" xfId="26579"/>
    <cellStyle name="20% - Accent2 3 2 3" xfId="10894"/>
    <cellStyle name="20% - Accent2 3 2 4" xfId="9581"/>
    <cellStyle name="20% - Accent2 3 2_Forecast" xfId="22067"/>
    <cellStyle name="20% - Accent2 3 3" xfId="7452"/>
    <cellStyle name="20% - Accent2 3 3 2" xfId="8892"/>
    <cellStyle name="20% - Accent2 3 3 2 2" xfId="11583"/>
    <cellStyle name="20% - Accent2 3 3 2 3" xfId="10270"/>
    <cellStyle name="20% - Accent2 3 3 2_Note Calc" xfId="26580"/>
    <cellStyle name="20% - Accent2 3 3 3" xfId="10895"/>
    <cellStyle name="20% - Accent2 3 3 4" xfId="9582"/>
    <cellStyle name="20% - Accent2 3 3_Forecast" xfId="22068"/>
    <cellStyle name="20% - Accent2 3 4" xfId="7453"/>
    <cellStyle name="20% - Accent2 3 4 2" xfId="8893"/>
    <cellStyle name="20% - Accent2 3 4 2 2" xfId="11584"/>
    <cellStyle name="20% - Accent2 3 4 2 3" xfId="10271"/>
    <cellStyle name="20% - Accent2 3 4 2_Note Calc" xfId="26581"/>
    <cellStyle name="20% - Accent2 3 4 3" xfId="10896"/>
    <cellStyle name="20% - Accent2 3 4 4" xfId="9583"/>
    <cellStyle name="20% - Accent2 3 4_Forecast" xfId="22069"/>
    <cellStyle name="20% - Accent2 3 5" xfId="7454"/>
    <cellStyle name="20% - Accent2 3 5 2" xfId="8894"/>
    <cellStyle name="20% - Accent2 3 5 2 2" xfId="11585"/>
    <cellStyle name="20% - Accent2 3 5 2 3" xfId="10272"/>
    <cellStyle name="20% - Accent2 3 5 2_Note Calc" xfId="26582"/>
    <cellStyle name="20% - Accent2 3 5 3" xfId="10897"/>
    <cellStyle name="20% - Accent2 3 5 4" xfId="9584"/>
    <cellStyle name="20% - Accent2 3 5_Forecast" xfId="22070"/>
    <cellStyle name="20% - Accent2 3 6" xfId="7455"/>
    <cellStyle name="20% - Accent2 3 6 2" xfId="8895"/>
    <cellStyle name="20% - Accent2 3 6 2 2" xfId="11586"/>
    <cellStyle name="20% - Accent2 3 6 2 3" xfId="10273"/>
    <cellStyle name="20% - Accent2 3 6 2_Note Calc" xfId="26583"/>
    <cellStyle name="20% - Accent2 3 6 3" xfId="10898"/>
    <cellStyle name="20% - Accent2 3 6 4" xfId="9585"/>
    <cellStyle name="20% - Accent2 3 6_Forecast" xfId="22071"/>
    <cellStyle name="20% - Accent2 3 7" xfId="7456"/>
    <cellStyle name="20% - Accent2 3 7 2" xfId="8896"/>
    <cellStyle name="20% - Accent2 3 7 2 2" xfId="11587"/>
    <cellStyle name="20% - Accent2 3 7 2 3" xfId="10274"/>
    <cellStyle name="20% - Accent2 3 7 2_Note Calc" xfId="26584"/>
    <cellStyle name="20% - Accent2 3 7 3" xfId="10899"/>
    <cellStyle name="20% - Accent2 3 7 4" xfId="9586"/>
    <cellStyle name="20% - Accent2 3 7_Forecast" xfId="22072"/>
    <cellStyle name="20% - Accent2 3 8" xfId="7655"/>
    <cellStyle name="20% - Accent2 3 8 2" xfId="9093"/>
    <cellStyle name="20% - Accent2 3 8 2 2" xfId="11784"/>
    <cellStyle name="20% - Accent2 3 8 2 3" xfId="10471"/>
    <cellStyle name="20% - Accent2 3 8 2_Note Calc" xfId="26585"/>
    <cellStyle name="20% - Accent2 3 8 3" xfId="11096"/>
    <cellStyle name="20% - Accent2 3 8 4" xfId="9783"/>
    <cellStyle name="20% - Accent2 3 8_Forecast" xfId="22073"/>
    <cellStyle name="20% - Accent2 3 9" xfId="8456"/>
    <cellStyle name="20% - Accent2 3 9 2" xfId="9350"/>
    <cellStyle name="20% - Accent2 3 9 2 2" xfId="12041"/>
    <cellStyle name="20% - Accent2 3 9 2 3" xfId="10728"/>
    <cellStyle name="20% - Accent2 3 9 2_Note Calc" xfId="26586"/>
    <cellStyle name="20% - Accent2 3 9 3" xfId="11353"/>
    <cellStyle name="20% - Accent2 3 9 4" xfId="10040"/>
    <cellStyle name="20% - Accent2 3 9_Forecast" xfId="22074"/>
    <cellStyle name="20% - Accent2 3_Forecast" xfId="22075"/>
    <cellStyle name="20% - Accent2 30" xfId="12675"/>
    <cellStyle name="20% - Accent2 31" xfId="12676"/>
    <cellStyle name="20% - Accent2 32" xfId="12677"/>
    <cellStyle name="20% - Accent2 33" xfId="12678"/>
    <cellStyle name="20% - Accent2 34" xfId="12679"/>
    <cellStyle name="20% - Accent2 35" xfId="12680"/>
    <cellStyle name="20% - Accent2 36" xfId="12681"/>
    <cellStyle name="20% - Accent2 37" xfId="12682"/>
    <cellStyle name="20% - Accent2 38" xfId="12683"/>
    <cellStyle name="20% - Accent2 39" xfId="12684"/>
    <cellStyle name="20% - Accent2 4" xfId="7457"/>
    <cellStyle name="20% - Accent2 4 2" xfId="8897"/>
    <cellStyle name="20% - Accent2 4 2 2" xfId="11588"/>
    <cellStyle name="20% - Accent2 4 2 3" xfId="10275"/>
    <cellStyle name="20% - Accent2 4 2_Note Calc" xfId="26587"/>
    <cellStyle name="20% - Accent2 4 3" xfId="10900"/>
    <cellStyle name="20% - Accent2 4 4" xfId="9587"/>
    <cellStyle name="20% - Accent2 4 5" xfId="12685"/>
    <cellStyle name="20% - Accent2 4_Forecast" xfId="22076"/>
    <cellStyle name="20% - Accent2 40" xfId="12686"/>
    <cellStyle name="20% - Accent2 41" xfId="12687"/>
    <cellStyle name="20% - Accent2 42" xfId="12688"/>
    <cellStyle name="20% - Accent2 43" xfId="12689"/>
    <cellStyle name="20% - Accent2 44" xfId="12690"/>
    <cellStyle name="20% - Accent2 45" xfId="12691"/>
    <cellStyle name="20% - Accent2 46" xfId="12692"/>
    <cellStyle name="20% - Accent2 47" xfId="12693"/>
    <cellStyle name="20% - Accent2 48" xfId="12694"/>
    <cellStyle name="20% - Accent2 49" xfId="12695"/>
    <cellStyle name="20% - Accent2 5" xfId="7458"/>
    <cellStyle name="20% - Accent2 5 2" xfId="8898"/>
    <cellStyle name="20% - Accent2 5 2 2" xfId="11589"/>
    <cellStyle name="20% - Accent2 5 2 3" xfId="10276"/>
    <cellStyle name="20% - Accent2 5 2_Note Calc" xfId="26588"/>
    <cellStyle name="20% - Accent2 5 3" xfId="10901"/>
    <cellStyle name="20% - Accent2 5 4" xfId="9588"/>
    <cellStyle name="20% - Accent2 5 5" xfId="12696"/>
    <cellStyle name="20% - Accent2 5_Forecast" xfId="22077"/>
    <cellStyle name="20% - Accent2 50" xfId="12697"/>
    <cellStyle name="20% - Accent2 51" xfId="12698"/>
    <cellStyle name="20% - Accent2 52" xfId="12699"/>
    <cellStyle name="20% - Accent2 53" xfId="12700"/>
    <cellStyle name="20% - Accent2 54" xfId="12701"/>
    <cellStyle name="20% - Accent2 55" xfId="12702"/>
    <cellStyle name="20% - Accent2 56" xfId="12703"/>
    <cellStyle name="20% - Accent2 57" xfId="12704"/>
    <cellStyle name="20% - Accent2 58" xfId="12705"/>
    <cellStyle name="20% - Accent2 59" xfId="12706"/>
    <cellStyle name="20% - Accent2 6" xfId="7459"/>
    <cellStyle name="20% - Accent2 6 2" xfId="8899"/>
    <cellStyle name="20% - Accent2 6 2 2" xfId="11590"/>
    <cellStyle name="20% - Accent2 6 2 3" xfId="10277"/>
    <cellStyle name="20% - Accent2 6 2_Note Calc" xfId="26589"/>
    <cellStyle name="20% - Accent2 6 3" xfId="10902"/>
    <cellStyle name="20% - Accent2 6 4" xfId="9589"/>
    <cellStyle name="20% - Accent2 6 5" xfId="12707"/>
    <cellStyle name="20% - Accent2 6_Forecast" xfId="22078"/>
    <cellStyle name="20% - Accent2 60" xfId="12708"/>
    <cellStyle name="20% - Accent2 61" xfId="12709"/>
    <cellStyle name="20% - Accent2 62" xfId="12710"/>
    <cellStyle name="20% - Accent2 63" xfId="12711"/>
    <cellStyle name="20% - Accent2 64" xfId="12712"/>
    <cellStyle name="20% - Accent2 65" xfId="12713"/>
    <cellStyle name="20% - Accent2 66" xfId="12714"/>
    <cellStyle name="20% - Accent2 67" xfId="12715"/>
    <cellStyle name="20% - Accent2 68" xfId="12716"/>
    <cellStyle name="20% - Accent2 69" xfId="12717"/>
    <cellStyle name="20% - Accent2 7" xfId="7460"/>
    <cellStyle name="20% - Accent2 7 2" xfId="8900"/>
    <cellStyle name="20% - Accent2 7 2 2" xfId="11591"/>
    <cellStyle name="20% - Accent2 7 2 3" xfId="10278"/>
    <cellStyle name="20% - Accent2 7 2_Note Calc" xfId="26590"/>
    <cellStyle name="20% - Accent2 7 3" xfId="10903"/>
    <cellStyle name="20% - Accent2 7 4" xfId="9590"/>
    <cellStyle name="20% - Accent2 7 5" xfId="12718"/>
    <cellStyle name="20% - Accent2 7_Forecast" xfId="22079"/>
    <cellStyle name="20% - Accent2 70" xfId="12719"/>
    <cellStyle name="20% - Accent2 71" xfId="12720"/>
    <cellStyle name="20% - Accent2 72" xfId="12721"/>
    <cellStyle name="20% - Accent2 73" xfId="12722"/>
    <cellStyle name="20% - Accent2 74" xfId="12723"/>
    <cellStyle name="20% - Accent2 75" xfId="12724"/>
    <cellStyle name="20% - Accent2 76" xfId="12725"/>
    <cellStyle name="20% - Accent2 77" xfId="12726"/>
    <cellStyle name="20% - Accent2 78" xfId="12727"/>
    <cellStyle name="20% - Accent2 79" xfId="12728"/>
    <cellStyle name="20% - Accent2 8" xfId="7461"/>
    <cellStyle name="20% - Accent2 8 2" xfId="8901"/>
    <cellStyle name="20% - Accent2 8 2 2" xfId="11592"/>
    <cellStyle name="20% - Accent2 8 2 3" xfId="10279"/>
    <cellStyle name="20% - Accent2 8 2_Note Calc" xfId="26591"/>
    <cellStyle name="20% - Accent2 8 3" xfId="10904"/>
    <cellStyle name="20% - Accent2 8 4" xfId="9591"/>
    <cellStyle name="20% - Accent2 8 5" xfId="12729"/>
    <cellStyle name="20% - Accent2 8_Forecast" xfId="22080"/>
    <cellStyle name="20% - Accent2 80" xfId="12730"/>
    <cellStyle name="20% - Accent2 81" xfId="12731"/>
    <cellStyle name="20% - Accent2 82" xfId="12732"/>
    <cellStyle name="20% - Accent2 83" xfId="12733"/>
    <cellStyle name="20% - Accent2 84" xfId="12734"/>
    <cellStyle name="20% - Accent2 85" xfId="12735"/>
    <cellStyle name="20% - Accent2 86" xfId="12736"/>
    <cellStyle name="20% - Accent2 87" xfId="12737"/>
    <cellStyle name="20% - Accent2 88" xfId="12738"/>
    <cellStyle name="20% - Accent2 89" xfId="12739"/>
    <cellStyle name="20% - Accent2 9" xfId="7462"/>
    <cellStyle name="20% - Accent2 9 2" xfId="8902"/>
    <cellStyle name="20% - Accent2 9 2 2" xfId="11593"/>
    <cellStyle name="20% - Accent2 9 2 3" xfId="10280"/>
    <cellStyle name="20% - Accent2 9 2_Note Calc" xfId="26592"/>
    <cellStyle name="20% - Accent2 9 3" xfId="10905"/>
    <cellStyle name="20% - Accent2 9 4" xfId="9592"/>
    <cellStyle name="20% - Accent2 9 5" xfId="12740"/>
    <cellStyle name="20% - Accent2 9_Forecast" xfId="22081"/>
    <cellStyle name="20% - Accent2 90" xfId="12741"/>
    <cellStyle name="20% - Accent2 91" xfId="12742"/>
    <cellStyle name="20% - Accent2 92" xfId="12743"/>
    <cellStyle name="20% - Accent2 93" xfId="12744"/>
    <cellStyle name="20% - Accent2 94" xfId="12745"/>
    <cellStyle name="20% - Accent2 95" xfId="12746"/>
    <cellStyle name="20% - Accent2 96" xfId="12747"/>
    <cellStyle name="20% - Accent2 97" xfId="12748"/>
    <cellStyle name="20% - Accent2 98" xfId="12749"/>
    <cellStyle name="20% - Accent2 99" xfId="12750"/>
    <cellStyle name="20% - Accent3" xfId="63" builtinId="38" customBuiltin="1"/>
    <cellStyle name="20% - Accent3 10" xfId="8778"/>
    <cellStyle name="20% - Accent3 10 2" xfId="11470"/>
    <cellStyle name="20% - Accent3 10 3" xfId="10157"/>
    <cellStyle name="20% - Accent3 10 4" xfId="12751"/>
    <cellStyle name="20% - Accent3 10_Note Calc" xfId="26593"/>
    <cellStyle name="20% - Accent3 100" xfId="12752"/>
    <cellStyle name="20% - Accent3 101" xfId="12753"/>
    <cellStyle name="20% - Accent3 102" xfId="12754"/>
    <cellStyle name="20% - Accent3 103" xfId="12755"/>
    <cellStyle name="20% - Accent3 104" xfId="12756"/>
    <cellStyle name="20% - Accent3 105" xfId="12757"/>
    <cellStyle name="20% - Accent3 106" xfId="12758"/>
    <cellStyle name="20% - Accent3 107" xfId="12759"/>
    <cellStyle name="20% - Accent3 108" xfId="12760"/>
    <cellStyle name="20% - Accent3 109" xfId="12761"/>
    <cellStyle name="20% - Accent3 11" xfId="10782"/>
    <cellStyle name="20% - Accent3 11 2" xfId="12762"/>
    <cellStyle name="20% - Accent3 11_Forecast" xfId="22082"/>
    <cellStyle name="20% - Accent3 110" xfId="12763"/>
    <cellStyle name="20% - Accent3 111" xfId="12764"/>
    <cellStyle name="20% - Accent3 112" xfId="12765"/>
    <cellStyle name="20% - Accent3 113" xfId="12766"/>
    <cellStyle name="20% - Accent3 114" xfId="12767"/>
    <cellStyle name="20% - Accent3 115" xfId="12768"/>
    <cellStyle name="20% - Accent3 116" xfId="12769"/>
    <cellStyle name="20% - Accent3 117" xfId="12770"/>
    <cellStyle name="20% - Accent3 118" xfId="12771"/>
    <cellStyle name="20% - Accent3 119" xfId="12772"/>
    <cellStyle name="20% - Accent3 12" xfId="9469"/>
    <cellStyle name="20% - Accent3 12 2" xfId="12773"/>
    <cellStyle name="20% - Accent3 12_Forecast" xfId="22083"/>
    <cellStyle name="20% - Accent3 120" xfId="12774"/>
    <cellStyle name="20% - Accent3 121" xfId="12775"/>
    <cellStyle name="20% - Accent3 122" xfId="12776"/>
    <cellStyle name="20% - Accent3 123" xfId="12777"/>
    <cellStyle name="20% - Accent3 124" xfId="12778"/>
    <cellStyle name="20% - Accent3 125" xfId="12779"/>
    <cellStyle name="20% - Accent3 126" xfId="12780"/>
    <cellStyle name="20% - Accent3 127" xfId="12781"/>
    <cellStyle name="20% - Accent3 128" xfId="12782"/>
    <cellStyle name="20% - Accent3 129" xfId="12783"/>
    <cellStyle name="20% - Accent3 13" xfId="12243"/>
    <cellStyle name="20% - Accent3 13 2" xfId="12784"/>
    <cellStyle name="20% - Accent3 13_Note Calc" xfId="26594"/>
    <cellStyle name="20% - Accent3 130" xfId="12785"/>
    <cellStyle name="20% - Accent3 131" xfId="12786"/>
    <cellStyle name="20% - Accent3 132" xfId="12787"/>
    <cellStyle name="20% - Accent3 133" xfId="12788"/>
    <cellStyle name="20% - Accent3 134" xfId="12789"/>
    <cellStyle name="20% - Accent3 135" xfId="12790"/>
    <cellStyle name="20% - Accent3 136" xfId="12791"/>
    <cellStyle name="20% - Accent3 137" xfId="12792"/>
    <cellStyle name="20% - Accent3 138" xfId="12793"/>
    <cellStyle name="20% - Accent3 139" xfId="12794"/>
    <cellStyle name="20% - Accent3 14" xfId="12795"/>
    <cellStyle name="20% - Accent3 140" xfId="12796"/>
    <cellStyle name="20% - Accent3 141" xfId="12797"/>
    <cellStyle name="20% - Accent3 142" xfId="12798"/>
    <cellStyle name="20% - Accent3 143" xfId="12799"/>
    <cellStyle name="20% - Accent3 144" xfId="12800"/>
    <cellStyle name="20% - Accent3 145" xfId="12801"/>
    <cellStyle name="20% - Accent3 146" xfId="12802"/>
    <cellStyle name="20% - Accent3 147" xfId="12803"/>
    <cellStyle name="20% - Accent3 148" xfId="12804"/>
    <cellStyle name="20% - Accent3 149" xfId="12805"/>
    <cellStyle name="20% - Accent3 15" xfId="12806"/>
    <cellStyle name="20% - Accent3 150" xfId="12807"/>
    <cellStyle name="20% - Accent3 151" xfId="12808"/>
    <cellStyle name="20% - Accent3 152" xfId="12809"/>
    <cellStyle name="20% - Accent3 153" xfId="12810"/>
    <cellStyle name="20% - Accent3 154" xfId="12811"/>
    <cellStyle name="20% - Accent3 155" xfId="12812"/>
    <cellStyle name="20% - Accent3 156" xfId="12813"/>
    <cellStyle name="20% - Accent3 157" xfId="12814"/>
    <cellStyle name="20% - Accent3 158" xfId="12815"/>
    <cellStyle name="20% - Accent3 159" xfId="12816"/>
    <cellStyle name="20% - Accent3 16" xfId="12817"/>
    <cellStyle name="20% - Accent3 160" xfId="12818"/>
    <cellStyle name="20% - Accent3 161" xfId="12819"/>
    <cellStyle name="20% - Accent3 162" xfId="12820"/>
    <cellStyle name="20% - Accent3 163" xfId="12821"/>
    <cellStyle name="20% - Accent3 163 2" xfId="21322"/>
    <cellStyle name="20% - Accent3 163 3" xfId="21323"/>
    <cellStyle name="20% - Accent3 163_Note Calc" xfId="26595"/>
    <cellStyle name="20% - Accent3 164" xfId="12822"/>
    <cellStyle name="20% - Accent3 165" xfId="12823"/>
    <cellStyle name="20% - Accent3 166" xfId="12824"/>
    <cellStyle name="20% - Accent3 167" xfId="12825"/>
    <cellStyle name="20% - Accent3 168" xfId="12826"/>
    <cellStyle name="20% - Accent3 169" xfId="12827"/>
    <cellStyle name="20% - Accent3 17" xfId="12828"/>
    <cellStyle name="20% - Accent3 170" xfId="12829"/>
    <cellStyle name="20% - Accent3 171" xfId="12830"/>
    <cellStyle name="20% - Accent3 172" xfId="12831"/>
    <cellStyle name="20% - Accent3 173" xfId="12832"/>
    <cellStyle name="20% - Accent3 174" xfId="12833"/>
    <cellStyle name="20% - Accent3 175" xfId="12834"/>
    <cellStyle name="20% - Accent3 176" xfId="12835"/>
    <cellStyle name="20% - Accent3 177" xfId="12836"/>
    <cellStyle name="20% - Accent3 178" xfId="12837"/>
    <cellStyle name="20% - Accent3 179" xfId="12838"/>
    <cellStyle name="20% - Accent3 18" xfId="12839"/>
    <cellStyle name="20% - Accent3 180" xfId="12840"/>
    <cellStyle name="20% - Accent3 181" xfId="12841"/>
    <cellStyle name="20% - Accent3 182" xfId="12842"/>
    <cellStyle name="20% - Accent3 183" xfId="12843"/>
    <cellStyle name="20% - Accent3 184" xfId="12844"/>
    <cellStyle name="20% - Accent3 185" xfId="12845"/>
    <cellStyle name="20% - Accent3 186" xfId="12846"/>
    <cellStyle name="20% - Accent3 187" xfId="12847"/>
    <cellStyle name="20% - Accent3 188" xfId="12848"/>
    <cellStyle name="20% - Accent3 189" xfId="12849"/>
    <cellStyle name="20% - Accent3 19" xfId="12850"/>
    <cellStyle name="20% - Accent3 190" xfId="12851"/>
    <cellStyle name="20% - Accent3 191" xfId="12852"/>
    <cellStyle name="20% - Accent3 192" xfId="12853"/>
    <cellStyle name="20% - Accent3 193" xfId="12854"/>
    <cellStyle name="20% - Accent3 194" xfId="12855"/>
    <cellStyle name="20% - Accent3 195" xfId="12856"/>
    <cellStyle name="20% - Accent3 196" xfId="12857"/>
    <cellStyle name="20% - Accent3 197" xfId="12858"/>
    <cellStyle name="20% - Accent3 198" xfId="12859"/>
    <cellStyle name="20% - Accent3 199" xfId="12860"/>
    <cellStyle name="20% - Accent3 2" xfId="64"/>
    <cellStyle name="20% - Accent3 2 10" xfId="65"/>
    <cellStyle name="20% - Accent3 2 11" xfId="66"/>
    <cellStyle name="20% - Accent3 2 12" xfId="67"/>
    <cellStyle name="20% - Accent3 2 13" xfId="68"/>
    <cellStyle name="20% - Accent3 2 14" xfId="69"/>
    <cellStyle name="20% - Accent3 2 15" xfId="70"/>
    <cellStyle name="20% - Accent3 2 16" xfId="71"/>
    <cellStyle name="20% - Accent3 2 17" xfId="72"/>
    <cellStyle name="20% - Accent3 2 18" xfId="73"/>
    <cellStyle name="20% - Accent3 2 19" xfId="74"/>
    <cellStyle name="20% - Accent3 2 2" xfId="75"/>
    <cellStyle name="20% - Accent3 2 2 2" xfId="7464"/>
    <cellStyle name="20% - Accent3 2 2 2 2" xfId="8904"/>
    <cellStyle name="20% - Accent3 2 2 2 2 2" xfId="11595"/>
    <cellStyle name="20% - Accent3 2 2 2 2 3" xfId="10282"/>
    <cellStyle name="20% - Accent3 2 2 2 2_Note Calc" xfId="26596"/>
    <cellStyle name="20% - Accent3 2 2 2 3" xfId="10907"/>
    <cellStyle name="20% - Accent3 2 2 2 4" xfId="9594"/>
    <cellStyle name="20% - Accent3 2 2 2_Forecast" xfId="22084"/>
    <cellStyle name="20% - Accent3 2 2 3" xfId="8202"/>
    <cellStyle name="20% - Accent3 2 2 3 2" xfId="9157"/>
    <cellStyle name="20% - Accent3 2 2 3 2 2" xfId="11848"/>
    <cellStyle name="20% - Accent3 2 2 3 2 3" xfId="10535"/>
    <cellStyle name="20% - Accent3 2 2 3 2_Note Calc" xfId="26597"/>
    <cellStyle name="20% - Accent3 2 2 3 3" xfId="11160"/>
    <cellStyle name="20% - Accent3 2 2 3 4" xfId="9847"/>
    <cellStyle name="20% - Accent3 2 2 3_Forecast" xfId="22085"/>
    <cellStyle name="20% - Accent3 2 2 4" xfId="8412"/>
    <cellStyle name="20% - Accent3 2 2 4 2" xfId="9315"/>
    <cellStyle name="20% - Accent3 2 2 4 2 2" xfId="12006"/>
    <cellStyle name="20% - Accent3 2 2 4 2 3" xfId="10693"/>
    <cellStyle name="20% - Accent3 2 2 4 2_Note Calc" xfId="26598"/>
    <cellStyle name="20% - Accent3 2 2 4 3" xfId="11318"/>
    <cellStyle name="20% - Accent3 2 2 4 4" xfId="10005"/>
    <cellStyle name="20% - Accent3 2 2 4_Forecast" xfId="22086"/>
    <cellStyle name="20% - Accent3 2 2 5" xfId="21324"/>
    <cellStyle name="20% - Accent3 2 2_SFPR" xfId="21865"/>
    <cellStyle name="20% - Accent3 2 20" xfId="76"/>
    <cellStyle name="20% - Accent3 2 21" xfId="77"/>
    <cellStyle name="20% - Accent3 2 22" xfId="78"/>
    <cellStyle name="20% - Accent3 2 23" xfId="79"/>
    <cellStyle name="20% - Accent3 2 24" xfId="80"/>
    <cellStyle name="20% - Accent3 2 25" xfId="81"/>
    <cellStyle name="20% - Accent3 2 26" xfId="82"/>
    <cellStyle name="20% - Accent3 2 27" xfId="83"/>
    <cellStyle name="20% - Accent3 2 28" xfId="84"/>
    <cellStyle name="20% - Accent3 2 29" xfId="85"/>
    <cellStyle name="20% - Accent3 2 3" xfId="86"/>
    <cellStyle name="20% - Accent3 2 3 2" xfId="7465"/>
    <cellStyle name="20% - Accent3 2 3 2 2" xfId="8905"/>
    <cellStyle name="20% - Accent3 2 3 2 2 2" xfId="11596"/>
    <cellStyle name="20% - Accent3 2 3 2 2 3" xfId="10283"/>
    <cellStyle name="20% - Accent3 2 3 2 2_Note Calc" xfId="26599"/>
    <cellStyle name="20% - Accent3 2 3 2 3" xfId="10908"/>
    <cellStyle name="20% - Accent3 2 3 2 4" xfId="9595"/>
    <cellStyle name="20% - Accent3 2 3 2_Forecast" xfId="22087"/>
    <cellStyle name="20% - Accent3 2 3 3" xfId="8203"/>
    <cellStyle name="20% - Accent3 2 3 3 2" xfId="9158"/>
    <cellStyle name="20% - Accent3 2 3 3 2 2" xfId="11849"/>
    <cellStyle name="20% - Accent3 2 3 3 2 3" xfId="10536"/>
    <cellStyle name="20% - Accent3 2 3 3 2_Note Calc" xfId="26600"/>
    <cellStyle name="20% - Accent3 2 3 3 3" xfId="11161"/>
    <cellStyle name="20% - Accent3 2 3 3 4" xfId="9848"/>
    <cellStyle name="20% - Accent3 2 3 3_Forecast" xfId="22088"/>
    <cellStyle name="20% - Accent3 2 3 4" xfId="8411"/>
    <cellStyle name="20% - Accent3 2 3 4 2" xfId="9314"/>
    <cellStyle name="20% - Accent3 2 3 4 2 2" xfId="12005"/>
    <cellStyle name="20% - Accent3 2 3 4 2 3" xfId="10692"/>
    <cellStyle name="20% - Accent3 2 3 4 2_Note Calc" xfId="26601"/>
    <cellStyle name="20% - Accent3 2 3 4 3" xfId="11317"/>
    <cellStyle name="20% - Accent3 2 3 4 4" xfId="10004"/>
    <cellStyle name="20% - Accent3 2 3 4_Forecast" xfId="22089"/>
    <cellStyle name="20% - Accent3 2 3 5" xfId="21325"/>
    <cellStyle name="20% - Accent3 2 3_SFPR" xfId="21866"/>
    <cellStyle name="20% - Accent3 2 30" xfId="87"/>
    <cellStyle name="20% - Accent3 2 31" xfId="7463"/>
    <cellStyle name="20% - Accent3 2 31 2" xfId="8903"/>
    <cellStyle name="20% - Accent3 2 31 2 2" xfId="11594"/>
    <cellStyle name="20% - Accent3 2 31 2 3" xfId="10281"/>
    <cellStyle name="20% - Accent3 2 31 2_Note Calc" xfId="26602"/>
    <cellStyle name="20% - Accent3 2 31 3" xfId="10906"/>
    <cellStyle name="20% - Accent3 2 31 4" xfId="9593"/>
    <cellStyle name="20% - Accent3 2 31_Forecast" xfId="22090"/>
    <cellStyle name="20% - Accent3 2 32" xfId="8201"/>
    <cellStyle name="20% - Accent3 2 32 2" xfId="9156"/>
    <cellStyle name="20% - Accent3 2 32 2 2" xfId="11847"/>
    <cellStyle name="20% - Accent3 2 32 2 3" xfId="10534"/>
    <cellStyle name="20% - Accent3 2 32 2_Note Calc" xfId="26603"/>
    <cellStyle name="20% - Accent3 2 32 3" xfId="11159"/>
    <cellStyle name="20% - Accent3 2 32 4" xfId="9846"/>
    <cellStyle name="20% - Accent3 2 32_Forecast" xfId="22091"/>
    <cellStyle name="20% - Accent3 2 33" xfId="8413"/>
    <cellStyle name="20% - Accent3 2 33 2" xfId="9316"/>
    <cellStyle name="20% - Accent3 2 33 2 2" xfId="12007"/>
    <cellStyle name="20% - Accent3 2 33 2 3" xfId="10694"/>
    <cellStyle name="20% - Accent3 2 33 2_Note Calc" xfId="26604"/>
    <cellStyle name="20% - Accent3 2 33 3" xfId="11319"/>
    <cellStyle name="20% - Accent3 2 33 4" xfId="10006"/>
    <cellStyle name="20% - Accent3 2 33_Forecast" xfId="22092"/>
    <cellStyle name="20% - Accent3 2 34" xfId="12101"/>
    <cellStyle name="20% - Accent3 2 35" xfId="12861"/>
    <cellStyle name="20% - Accent3 2 36" xfId="26605"/>
    <cellStyle name="20% - Accent3 2 4" xfId="88"/>
    <cellStyle name="20% - Accent3 2 4 2" xfId="7466"/>
    <cellStyle name="20% - Accent3 2 4 2 2" xfId="8906"/>
    <cellStyle name="20% - Accent3 2 4 2 2 2" xfId="11597"/>
    <cellStyle name="20% - Accent3 2 4 2 2 3" xfId="10284"/>
    <cellStyle name="20% - Accent3 2 4 2 2_Note Calc" xfId="26606"/>
    <cellStyle name="20% - Accent3 2 4 2 3" xfId="10909"/>
    <cellStyle name="20% - Accent3 2 4 2 4" xfId="9596"/>
    <cellStyle name="20% - Accent3 2 4 2_Forecast" xfId="22093"/>
    <cellStyle name="20% - Accent3 2 4 3" xfId="8204"/>
    <cellStyle name="20% - Accent3 2 4 3 2" xfId="9159"/>
    <cellStyle name="20% - Accent3 2 4 3 2 2" xfId="11850"/>
    <cellStyle name="20% - Accent3 2 4 3 2 3" xfId="10537"/>
    <cellStyle name="20% - Accent3 2 4 3 2_Note Calc" xfId="26607"/>
    <cellStyle name="20% - Accent3 2 4 3 3" xfId="11162"/>
    <cellStyle name="20% - Accent3 2 4 3 4" xfId="9849"/>
    <cellStyle name="20% - Accent3 2 4 3_Forecast" xfId="22094"/>
    <cellStyle name="20% - Accent3 2 4 4" xfId="8410"/>
    <cellStyle name="20% - Accent3 2 4 4 2" xfId="9313"/>
    <cellStyle name="20% - Accent3 2 4 4 2 2" xfId="12004"/>
    <cellStyle name="20% - Accent3 2 4 4 2 3" xfId="10691"/>
    <cellStyle name="20% - Accent3 2 4 4 2_Note Calc" xfId="26608"/>
    <cellStyle name="20% - Accent3 2 4 4 3" xfId="11316"/>
    <cellStyle name="20% - Accent3 2 4 4 4" xfId="10003"/>
    <cellStyle name="20% - Accent3 2 4 4_Forecast" xfId="22095"/>
    <cellStyle name="20% - Accent3 2 4 5" xfId="21326"/>
    <cellStyle name="20% - Accent3 2 4_SFPR" xfId="21867"/>
    <cellStyle name="20% - Accent3 2 5" xfId="89"/>
    <cellStyle name="20% - Accent3 2 5 2" xfId="7467"/>
    <cellStyle name="20% - Accent3 2 5 2 2" xfId="8907"/>
    <cellStyle name="20% - Accent3 2 5 2 2 2" xfId="11598"/>
    <cellStyle name="20% - Accent3 2 5 2 2 3" xfId="10285"/>
    <cellStyle name="20% - Accent3 2 5 2 2_Note Calc" xfId="26609"/>
    <cellStyle name="20% - Accent3 2 5 2 3" xfId="10910"/>
    <cellStyle name="20% - Accent3 2 5 2 4" xfId="9597"/>
    <cellStyle name="20% - Accent3 2 5 2_Forecast" xfId="22096"/>
    <cellStyle name="20% - Accent3 2 5 3" xfId="8205"/>
    <cellStyle name="20% - Accent3 2 5 3 2" xfId="9160"/>
    <cellStyle name="20% - Accent3 2 5 3 2 2" xfId="11851"/>
    <cellStyle name="20% - Accent3 2 5 3 2 3" xfId="10538"/>
    <cellStyle name="20% - Accent3 2 5 3 2_Note Calc" xfId="26610"/>
    <cellStyle name="20% - Accent3 2 5 3 3" xfId="11163"/>
    <cellStyle name="20% - Accent3 2 5 3 4" xfId="9850"/>
    <cellStyle name="20% - Accent3 2 5 3_Forecast" xfId="22097"/>
    <cellStyle name="20% - Accent3 2 5 4" xfId="8409"/>
    <cellStyle name="20% - Accent3 2 5 4 2" xfId="9312"/>
    <cellStyle name="20% - Accent3 2 5 4 2 2" xfId="12003"/>
    <cellStyle name="20% - Accent3 2 5 4 2 3" xfId="10690"/>
    <cellStyle name="20% - Accent3 2 5 4 2_Note Calc" xfId="26611"/>
    <cellStyle name="20% - Accent3 2 5 4 3" xfId="11315"/>
    <cellStyle name="20% - Accent3 2 5 4 4" xfId="10002"/>
    <cellStyle name="20% - Accent3 2 5 4_Forecast" xfId="22098"/>
    <cellStyle name="20% - Accent3 2 6" xfId="90"/>
    <cellStyle name="20% - Accent3 2 6 2" xfId="7468"/>
    <cellStyle name="20% - Accent3 2 6 2 2" xfId="8908"/>
    <cellStyle name="20% - Accent3 2 6 2 2 2" xfId="11599"/>
    <cellStyle name="20% - Accent3 2 6 2 2 3" xfId="10286"/>
    <cellStyle name="20% - Accent3 2 6 2 2_Note Calc" xfId="26612"/>
    <cellStyle name="20% - Accent3 2 6 2 3" xfId="10911"/>
    <cellStyle name="20% - Accent3 2 6 2 4" xfId="9598"/>
    <cellStyle name="20% - Accent3 2 6 2_Forecast" xfId="22099"/>
    <cellStyle name="20% - Accent3 2 6 3" xfId="8206"/>
    <cellStyle name="20% - Accent3 2 6 3 2" xfId="9161"/>
    <cellStyle name="20% - Accent3 2 6 3 2 2" xfId="11852"/>
    <cellStyle name="20% - Accent3 2 6 3 2 3" xfId="10539"/>
    <cellStyle name="20% - Accent3 2 6 3 2_Note Calc" xfId="26613"/>
    <cellStyle name="20% - Accent3 2 6 3 3" xfId="11164"/>
    <cellStyle name="20% - Accent3 2 6 3 4" xfId="9851"/>
    <cellStyle name="20% - Accent3 2 6 3_Forecast" xfId="22100"/>
    <cellStyle name="20% - Accent3 2 6 4" xfId="8408"/>
    <cellStyle name="20% - Accent3 2 6 4 2" xfId="9311"/>
    <cellStyle name="20% - Accent3 2 6 4 2 2" xfId="12002"/>
    <cellStyle name="20% - Accent3 2 6 4 2 3" xfId="10689"/>
    <cellStyle name="20% - Accent3 2 6 4 2_Note Calc" xfId="26614"/>
    <cellStyle name="20% - Accent3 2 6 4 3" xfId="11314"/>
    <cellStyle name="20% - Accent3 2 6 4 4" xfId="10001"/>
    <cellStyle name="20% - Accent3 2 6 4_Forecast" xfId="22101"/>
    <cellStyle name="20% - Accent3 2 7" xfId="91"/>
    <cellStyle name="20% - Accent3 2 7 2" xfId="7469"/>
    <cellStyle name="20% - Accent3 2 7 2 2" xfId="8909"/>
    <cellStyle name="20% - Accent3 2 7 2 2 2" xfId="11600"/>
    <cellStyle name="20% - Accent3 2 7 2 2 3" xfId="10287"/>
    <cellStyle name="20% - Accent3 2 7 2 2_Note Calc" xfId="26615"/>
    <cellStyle name="20% - Accent3 2 7 2 3" xfId="10912"/>
    <cellStyle name="20% - Accent3 2 7 2 4" xfId="9599"/>
    <cellStyle name="20% - Accent3 2 7 2_Forecast" xfId="22102"/>
    <cellStyle name="20% - Accent3 2 7 3" xfId="8207"/>
    <cellStyle name="20% - Accent3 2 7 3 2" xfId="9162"/>
    <cellStyle name="20% - Accent3 2 7 3 2 2" xfId="11853"/>
    <cellStyle name="20% - Accent3 2 7 3 2 3" xfId="10540"/>
    <cellStyle name="20% - Accent3 2 7 3 2_Note Calc" xfId="26616"/>
    <cellStyle name="20% - Accent3 2 7 3 3" xfId="11165"/>
    <cellStyle name="20% - Accent3 2 7 3 4" xfId="9852"/>
    <cellStyle name="20% - Accent3 2 7 3_Forecast" xfId="22103"/>
    <cellStyle name="20% - Accent3 2 7 4" xfId="8407"/>
    <cellStyle name="20% - Accent3 2 7 4 2" xfId="9310"/>
    <cellStyle name="20% - Accent3 2 7 4 2 2" xfId="12001"/>
    <cellStyle name="20% - Accent3 2 7 4 2 3" xfId="10688"/>
    <cellStyle name="20% - Accent3 2 7 4 2_Note Calc" xfId="26617"/>
    <cellStyle name="20% - Accent3 2 7 4 3" xfId="11313"/>
    <cellStyle name="20% - Accent3 2 7 4 4" xfId="10000"/>
    <cellStyle name="20% - Accent3 2 7 4_Forecast" xfId="22104"/>
    <cellStyle name="20% - Accent3 2 8" xfId="92"/>
    <cellStyle name="20% - Accent3 2 9" xfId="93"/>
    <cellStyle name="20% - Accent3 2_Forecast" xfId="22105"/>
    <cellStyle name="20% - Accent3 20" xfId="12862"/>
    <cellStyle name="20% - Accent3 200" xfId="12863"/>
    <cellStyle name="20% - Accent3 201" xfId="12864"/>
    <cellStyle name="20% - Accent3 202" xfId="12865"/>
    <cellStyle name="20% - Accent3 203" xfId="12866"/>
    <cellStyle name="20% - Accent3 204" xfId="12867"/>
    <cellStyle name="20% - Accent3 205" xfId="12868"/>
    <cellStyle name="20% - Accent3 206" xfId="12869"/>
    <cellStyle name="20% - Accent3 207" xfId="12870"/>
    <cellStyle name="20% - Accent3 208" xfId="12871"/>
    <cellStyle name="20% - Accent3 209" xfId="12872"/>
    <cellStyle name="20% - Accent3 21" xfId="12873"/>
    <cellStyle name="20% - Accent3 210" xfId="12874"/>
    <cellStyle name="20% - Accent3 211" xfId="12875"/>
    <cellStyle name="20% - Accent3 212" xfId="12876"/>
    <cellStyle name="20% - Accent3 213" xfId="12877"/>
    <cellStyle name="20% - Accent3 214" xfId="12878"/>
    <cellStyle name="20% - Accent3 215" xfId="12879"/>
    <cellStyle name="20% - Accent3 216" xfId="12880"/>
    <cellStyle name="20% - Accent3 217" xfId="12881"/>
    <cellStyle name="20% - Accent3 218" xfId="12882"/>
    <cellStyle name="20% - Accent3 219" xfId="12883"/>
    <cellStyle name="20% - Accent3 22" xfId="12884"/>
    <cellStyle name="20% - Accent3 220" xfId="12885"/>
    <cellStyle name="20% - Accent3 221" xfId="12886"/>
    <cellStyle name="20% - Accent3 222" xfId="12887"/>
    <cellStyle name="20% - Accent3 223" xfId="12888"/>
    <cellStyle name="20% - Accent3 224" xfId="12889"/>
    <cellStyle name="20% - Accent3 225" xfId="12890"/>
    <cellStyle name="20% - Accent3 226" xfId="12891"/>
    <cellStyle name="20% - Accent3 227" xfId="12892"/>
    <cellStyle name="20% - Accent3 228" xfId="12893"/>
    <cellStyle name="20% - Accent3 229" xfId="12894"/>
    <cellStyle name="20% - Accent3 23" xfId="12895"/>
    <cellStyle name="20% - Accent3 230" xfId="12896"/>
    <cellStyle name="20% - Accent3 231" xfId="12897"/>
    <cellStyle name="20% - Accent3 232" xfId="12898"/>
    <cellStyle name="20% - Accent3 233" xfId="12899"/>
    <cellStyle name="20% - Accent3 234" xfId="12900"/>
    <cellStyle name="20% - Accent3 235" xfId="12901"/>
    <cellStyle name="20% - Accent3 236" xfId="12902"/>
    <cellStyle name="20% - Accent3 237" xfId="12903"/>
    <cellStyle name="20% - Accent3 238" xfId="12904"/>
    <cellStyle name="20% - Accent3 239" xfId="12905"/>
    <cellStyle name="20% - Accent3 24" xfId="12906"/>
    <cellStyle name="20% - Accent3 240" xfId="12907"/>
    <cellStyle name="20% - Accent3 241" xfId="12908"/>
    <cellStyle name="20% - Accent3 242" xfId="12909"/>
    <cellStyle name="20% - Accent3 243" xfId="12910"/>
    <cellStyle name="20% - Accent3 244" xfId="12911"/>
    <cellStyle name="20% - Accent3 245" xfId="21327"/>
    <cellStyle name="20% - Accent3 246" xfId="21328"/>
    <cellStyle name="20% - Accent3 247" xfId="21329"/>
    <cellStyle name="20% - Accent3 248" xfId="21330"/>
    <cellStyle name="20% - Accent3 249" xfId="21331"/>
    <cellStyle name="20% - Accent3 25" xfId="12912"/>
    <cellStyle name="20% - Accent3 250" xfId="21332"/>
    <cellStyle name="20% - Accent3 251" xfId="21333"/>
    <cellStyle name="20% - Accent3 252" xfId="21334"/>
    <cellStyle name="20% - Accent3 253" xfId="21335"/>
    <cellStyle name="20% - Accent3 254" xfId="21336"/>
    <cellStyle name="20% - Accent3 255" xfId="21337"/>
    <cellStyle name="20% - Accent3 256" xfId="21338"/>
    <cellStyle name="20% - Accent3 257" xfId="21339"/>
    <cellStyle name="20% - Accent3 258" xfId="21784"/>
    <cellStyle name="20% - Accent3 259" xfId="21785"/>
    <cellStyle name="20% - Accent3 26" xfId="12913"/>
    <cellStyle name="20% - Accent3 260" xfId="21786"/>
    <cellStyle name="20% - Accent3 261" xfId="21787"/>
    <cellStyle name="20% - Accent3 262" xfId="21731"/>
    <cellStyle name="20% - Accent3 263" xfId="21974"/>
    <cellStyle name="20% - Accent3 264" xfId="21894"/>
    <cellStyle name="20% - Accent3 265" xfId="26618"/>
    <cellStyle name="20% - Accent3 27" xfId="12914"/>
    <cellStyle name="20% - Accent3 28" xfId="12915"/>
    <cellStyle name="20% - Accent3 29" xfId="12916"/>
    <cellStyle name="20% - Accent3 3" xfId="7414"/>
    <cellStyle name="20% - Accent3 3 10" xfId="8856"/>
    <cellStyle name="20% - Accent3 3 10 2" xfId="11547"/>
    <cellStyle name="20% - Accent3 3 10 3" xfId="10234"/>
    <cellStyle name="20% - Accent3 3 10_Note Calc" xfId="26619"/>
    <cellStyle name="20% - Accent3 3 11" xfId="10859"/>
    <cellStyle name="20% - Accent3 3 12" xfId="9546"/>
    <cellStyle name="20% - Accent3 3 12 2" xfId="22106"/>
    <cellStyle name="20% - Accent3 3 12_Forecast" xfId="22107"/>
    <cellStyle name="20% - Accent3 3 13" xfId="12917"/>
    <cellStyle name="20% - Accent3 3 14" xfId="22108"/>
    <cellStyle name="20% - Accent3 3 2" xfId="7470"/>
    <cellStyle name="20% - Accent3 3 2 2" xfId="8910"/>
    <cellStyle name="20% - Accent3 3 2 2 2" xfId="11601"/>
    <cellStyle name="20% - Accent3 3 2 2 3" xfId="10288"/>
    <cellStyle name="20% - Accent3 3 2 2_Note Calc" xfId="26620"/>
    <cellStyle name="20% - Accent3 3 2 3" xfId="10913"/>
    <cellStyle name="20% - Accent3 3 2 4" xfId="9600"/>
    <cellStyle name="20% - Accent3 3 2_Forecast" xfId="22109"/>
    <cellStyle name="20% - Accent3 3 3" xfId="7471"/>
    <cellStyle name="20% - Accent3 3 3 2" xfId="8911"/>
    <cellStyle name="20% - Accent3 3 3 2 2" xfId="11602"/>
    <cellStyle name="20% - Accent3 3 3 2 3" xfId="10289"/>
    <cellStyle name="20% - Accent3 3 3 2_Note Calc" xfId="26621"/>
    <cellStyle name="20% - Accent3 3 3 3" xfId="10914"/>
    <cellStyle name="20% - Accent3 3 3 4" xfId="9601"/>
    <cellStyle name="20% - Accent3 3 3_Forecast" xfId="22110"/>
    <cellStyle name="20% - Accent3 3 4" xfId="7472"/>
    <cellStyle name="20% - Accent3 3 4 2" xfId="8912"/>
    <cellStyle name="20% - Accent3 3 4 2 2" xfId="11603"/>
    <cellStyle name="20% - Accent3 3 4 2 3" xfId="10290"/>
    <cellStyle name="20% - Accent3 3 4 2_Note Calc" xfId="26622"/>
    <cellStyle name="20% - Accent3 3 4 3" xfId="10915"/>
    <cellStyle name="20% - Accent3 3 4 4" xfId="9602"/>
    <cellStyle name="20% - Accent3 3 4_Forecast" xfId="22111"/>
    <cellStyle name="20% - Accent3 3 5" xfId="7473"/>
    <cellStyle name="20% - Accent3 3 5 2" xfId="8913"/>
    <cellStyle name="20% - Accent3 3 5 2 2" xfId="11604"/>
    <cellStyle name="20% - Accent3 3 5 2 3" xfId="10291"/>
    <cellStyle name="20% - Accent3 3 5 2_Note Calc" xfId="26623"/>
    <cellStyle name="20% - Accent3 3 5 3" xfId="10916"/>
    <cellStyle name="20% - Accent3 3 5 4" xfId="9603"/>
    <cellStyle name="20% - Accent3 3 5_Forecast" xfId="22112"/>
    <cellStyle name="20% - Accent3 3 6" xfId="7474"/>
    <cellStyle name="20% - Accent3 3 6 2" xfId="8914"/>
    <cellStyle name="20% - Accent3 3 6 2 2" xfId="11605"/>
    <cellStyle name="20% - Accent3 3 6 2 3" xfId="10292"/>
    <cellStyle name="20% - Accent3 3 6 2_Note Calc" xfId="26624"/>
    <cellStyle name="20% - Accent3 3 6 3" xfId="10917"/>
    <cellStyle name="20% - Accent3 3 6 4" xfId="9604"/>
    <cellStyle name="20% - Accent3 3 6_Forecast" xfId="22113"/>
    <cellStyle name="20% - Accent3 3 7" xfId="7475"/>
    <cellStyle name="20% - Accent3 3 7 2" xfId="8915"/>
    <cellStyle name="20% - Accent3 3 7 2 2" xfId="11606"/>
    <cellStyle name="20% - Accent3 3 7 2 3" xfId="10293"/>
    <cellStyle name="20% - Accent3 3 7 2_Note Calc" xfId="26625"/>
    <cellStyle name="20% - Accent3 3 7 3" xfId="10918"/>
    <cellStyle name="20% - Accent3 3 7 4" xfId="9605"/>
    <cellStyle name="20% - Accent3 3 7_Forecast" xfId="22114"/>
    <cellStyle name="20% - Accent3 3 8" xfId="8208"/>
    <cellStyle name="20% - Accent3 3 8 2" xfId="9163"/>
    <cellStyle name="20% - Accent3 3 8 2 2" xfId="11854"/>
    <cellStyle name="20% - Accent3 3 8 2 3" xfId="10541"/>
    <cellStyle name="20% - Accent3 3 8 2_Note Calc" xfId="26626"/>
    <cellStyle name="20% - Accent3 3 8 3" xfId="11166"/>
    <cellStyle name="20% - Accent3 3 8 4" xfId="9853"/>
    <cellStyle name="20% - Accent3 3 8_Forecast" xfId="22115"/>
    <cellStyle name="20% - Accent3 3 9" xfId="8406"/>
    <cellStyle name="20% - Accent3 3 9 2" xfId="9309"/>
    <cellStyle name="20% - Accent3 3 9 2 2" xfId="12000"/>
    <cellStyle name="20% - Accent3 3 9 2 3" xfId="10687"/>
    <cellStyle name="20% - Accent3 3 9 2_Note Calc" xfId="26627"/>
    <cellStyle name="20% - Accent3 3 9 3" xfId="11312"/>
    <cellStyle name="20% - Accent3 3 9 4" xfId="9999"/>
    <cellStyle name="20% - Accent3 3 9_Forecast" xfId="22116"/>
    <cellStyle name="20% - Accent3 3_Forecast" xfId="22117"/>
    <cellStyle name="20% - Accent3 30" xfId="12918"/>
    <cellStyle name="20% - Accent3 31" xfId="12919"/>
    <cellStyle name="20% - Accent3 32" xfId="12920"/>
    <cellStyle name="20% - Accent3 33" xfId="12921"/>
    <cellStyle name="20% - Accent3 34" xfId="12922"/>
    <cellStyle name="20% - Accent3 35" xfId="12923"/>
    <cellStyle name="20% - Accent3 36" xfId="12924"/>
    <cellStyle name="20% - Accent3 37" xfId="12925"/>
    <cellStyle name="20% - Accent3 38" xfId="12926"/>
    <cellStyle name="20% - Accent3 39" xfId="12927"/>
    <cellStyle name="20% - Accent3 4" xfId="7476"/>
    <cellStyle name="20% - Accent3 4 2" xfId="8916"/>
    <cellStyle name="20% - Accent3 4 2 2" xfId="11607"/>
    <cellStyle name="20% - Accent3 4 2 3" xfId="10294"/>
    <cellStyle name="20% - Accent3 4 2_Note Calc" xfId="26628"/>
    <cellStyle name="20% - Accent3 4 3" xfId="10919"/>
    <cellStyle name="20% - Accent3 4 4" xfId="9606"/>
    <cellStyle name="20% - Accent3 4 5" xfId="12928"/>
    <cellStyle name="20% - Accent3 4_Forecast" xfId="22118"/>
    <cellStyle name="20% - Accent3 40" xfId="12929"/>
    <cellStyle name="20% - Accent3 41" xfId="12930"/>
    <cellStyle name="20% - Accent3 42" xfId="12931"/>
    <cellStyle name="20% - Accent3 43" xfId="12932"/>
    <cellStyle name="20% - Accent3 44" xfId="12933"/>
    <cellStyle name="20% - Accent3 45" xfId="12934"/>
    <cellStyle name="20% - Accent3 46" xfId="12935"/>
    <cellStyle name="20% - Accent3 47" xfId="12936"/>
    <cellStyle name="20% - Accent3 48" xfId="12937"/>
    <cellStyle name="20% - Accent3 49" xfId="12938"/>
    <cellStyle name="20% - Accent3 5" xfId="7477"/>
    <cellStyle name="20% - Accent3 5 2" xfId="8917"/>
    <cellStyle name="20% - Accent3 5 2 2" xfId="11608"/>
    <cellStyle name="20% - Accent3 5 2 3" xfId="10295"/>
    <cellStyle name="20% - Accent3 5 2_Note Calc" xfId="26629"/>
    <cellStyle name="20% - Accent3 5 3" xfId="10920"/>
    <cellStyle name="20% - Accent3 5 4" xfId="9607"/>
    <cellStyle name="20% - Accent3 5 5" xfId="12939"/>
    <cellStyle name="20% - Accent3 5_Forecast" xfId="22119"/>
    <cellStyle name="20% - Accent3 50" xfId="12940"/>
    <cellStyle name="20% - Accent3 51" xfId="12941"/>
    <cellStyle name="20% - Accent3 52" xfId="12942"/>
    <cellStyle name="20% - Accent3 53" xfId="12943"/>
    <cellStyle name="20% - Accent3 54" xfId="12944"/>
    <cellStyle name="20% - Accent3 55" xfId="12945"/>
    <cellStyle name="20% - Accent3 56" xfId="12946"/>
    <cellStyle name="20% - Accent3 57" xfId="12947"/>
    <cellStyle name="20% - Accent3 58" xfId="12948"/>
    <cellStyle name="20% - Accent3 59" xfId="12949"/>
    <cellStyle name="20% - Accent3 6" xfId="7478"/>
    <cellStyle name="20% - Accent3 6 2" xfId="8918"/>
    <cellStyle name="20% - Accent3 6 2 2" xfId="11609"/>
    <cellStyle name="20% - Accent3 6 2 3" xfId="10296"/>
    <cellStyle name="20% - Accent3 6 2_Note Calc" xfId="26630"/>
    <cellStyle name="20% - Accent3 6 3" xfId="10921"/>
    <cellStyle name="20% - Accent3 6 4" xfId="9608"/>
    <cellStyle name="20% - Accent3 6 5" xfId="12950"/>
    <cellStyle name="20% - Accent3 6_Forecast" xfId="22120"/>
    <cellStyle name="20% - Accent3 60" xfId="12951"/>
    <cellStyle name="20% - Accent3 61" xfId="12952"/>
    <cellStyle name="20% - Accent3 62" xfId="12953"/>
    <cellStyle name="20% - Accent3 63" xfId="12954"/>
    <cellStyle name="20% - Accent3 64" xfId="12955"/>
    <cellStyle name="20% - Accent3 65" xfId="12956"/>
    <cellStyle name="20% - Accent3 66" xfId="12957"/>
    <cellStyle name="20% - Accent3 67" xfId="12958"/>
    <cellStyle name="20% - Accent3 68" xfId="12959"/>
    <cellStyle name="20% - Accent3 69" xfId="12960"/>
    <cellStyle name="20% - Accent3 7" xfId="7479"/>
    <cellStyle name="20% - Accent3 7 2" xfId="8919"/>
    <cellStyle name="20% - Accent3 7 2 2" xfId="11610"/>
    <cellStyle name="20% - Accent3 7 2 3" xfId="10297"/>
    <cellStyle name="20% - Accent3 7 2_Note Calc" xfId="26631"/>
    <cellStyle name="20% - Accent3 7 3" xfId="10922"/>
    <cellStyle name="20% - Accent3 7 4" xfId="9609"/>
    <cellStyle name="20% - Accent3 7 5" xfId="12961"/>
    <cellStyle name="20% - Accent3 7_Forecast" xfId="22121"/>
    <cellStyle name="20% - Accent3 70" xfId="12962"/>
    <cellStyle name="20% - Accent3 71" xfId="12963"/>
    <cellStyle name="20% - Accent3 72" xfId="12964"/>
    <cellStyle name="20% - Accent3 73" xfId="12965"/>
    <cellStyle name="20% - Accent3 74" xfId="12966"/>
    <cellStyle name="20% - Accent3 75" xfId="12967"/>
    <cellStyle name="20% - Accent3 76" xfId="12968"/>
    <cellStyle name="20% - Accent3 77" xfId="12969"/>
    <cellStyle name="20% - Accent3 78" xfId="12970"/>
    <cellStyle name="20% - Accent3 79" xfId="12971"/>
    <cellStyle name="20% - Accent3 8" xfId="7480"/>
    <cellStyle name="20% - Accent3 8 2" xfId="8920"/>
    <cellStyle name="20% - Accent3 8 2 2" xfId="11611"/>
    <cellStyle name="20% - Accent3 8 2 3" xfId="10298"/>
    <cellStyle name="20% - Accent3 8 2_Note Calc" xfId="26632"/>
    <cellStyle name="20% - Accent3 8 3" xfId="10923"/>
    <cellStyle name="20% - Accent3 8 4" xfId="9610"/>
    <cellStyle name="20% - Accent3 8 5" xfId="12972"/>
    <cellStyle name="20% - Accent3 8_Forecast" xfId="22122"/>
    <cellStyle name="20% - Accent3 80" xfId="12973"/>
    <cellStyle name="20% - Accent3 81" xfId="12974"/>
    <cellStyle name="20% - Accent3 82" xfId="12975"/>
    <cellStyle name="20% - Accent3 83" xfId="12976"/>
    <cellStyle name="20% - Accent3 84" xfId="12977"/>
    <cellStyle name="20% - Accent3 85" xfId="12978"/>
    <cellStyle name="20% - Accent3 86" xfId="12979"/>
    <cellStyle name="20% - Accent3 87" xfId="12980"/>
    <cellStyle name="20% - Accent3 88" xfId="12981"/>
    <cellStyle name="20% - Accent3 89" xfId="12982"/>
    <cellStyle name="20% - Accent3 9" xfId="7481"/>
    <cellStyle name="20% - Accent3 9 2" xfId="8921"/>
    <cellStyle name="20% - Accent3 9 2 2" xfId="11612"/>
    <cellStyle name="20% - Accent3 9 2 3" xfId="10299"/>
    <cellStyle name="20% - Accent3 9 2_Note Calc" xfId="26633"/>
    <cellStyle name="20% - Accent3 9 3" xfId="10924"/>
    <cellStyle name="20% - Accent3 9 4" xfId="9611"/>
    <cellStyle name="20% - Accent3 9 5" xfId="12983"/>
    <cellStyle name="20% - Accent3 9_Forecast" xfId="22123"/>
    <cellStyle name="20% - Accent3 90" xfId="12984"/>
    <cellStyle name="20% - Accent3 91" xfId="12985"/>
    <cellStyle name="20% - Accent3 92" xfId="12986"/>
    <cellStyle name="20% - Accent3 93" xfId="12987"/>
    <cellStyle name="20% - Accent3 94" xfId="12988"/>
    <cellStyle name="20% - Accent3 95" xfId="12989"/>
    <cellStyle name="20% - Accent3 96" xfId="12990"/>
    <cellStyle name="20% - Accent3 97" xfId="12991"/>
    <cellStyle name="20% - Accent3 98" xfId="12992"/>
    <cellStyle name="20% - Accent3 99" xfId="12993"/>
    <cellStyle name="20% - Accent4" xfId="94" builtinId="42" customBuiltin="1"/>
    <cellStyle name="20% - Accent4 10" xfId="8779"/>
    <cellStyle name="20% - Accent4 10 2" xfId="11471"/>
    <cellStyle name="20% - Accent4 10 3" xfId="10158"/>
    <cellStyle name="20% - Accent4 10 4" xfId="12994"/>
    <cellStyle name="20% - Accent4 10_Note Calc" xfId="26634"/>
    <cellStyle name="20% - Accent4 100" xfId="12995"/>
    <cellStyle name="20% - Accent4 101" xfId="12996"/>
    <cellStyle name="20% - Accent4 102" xfId="12997"/>
    <cellStyle name="20% - Accent4 103" xfId="12998"/>
    <cellStyle name="20% - Accent4 104" xfId="12999"/>
    <cellStyle name="20% - Accent4 105" xfId="13000"/>
    <cellStyle name="20% - Accent4 106" xfId="13001"/>
    <cellStyle name="20% - Accent4 107" xfId="13002"/>
    <cellStyle name="20% - Accent4 108" xfId="13003"/>
    <cellStyle name="20% - Accent4 109" xfId="13004"/>
    <cellStyle name="20% - Accent4 11" xfId="10783"/>
    <cellStyle name="20% - Accent4 11 2" xfId="13005"/>
    <cellStyle name="20% - Accent4 11_Forecast" xfId="22124"/>
    <cellStyle name="20% - Accent4 110" xfId="13006"/>
    <cellStyle name="20% - Accent4 111" xfId="13007"/>
    <cellStyle name="20% - Accent4 112" xfId="13008"/>
    <cellStyle name="20% - Accent4 113" xfId="13009"/>
    <cellStyle name="20% - Accent4 114" xfId="13010"/>
    <cellStyle name="20% - Accent4 115" xfId="13011"/>
    <cellStyle name="20% - Accent4 116" xfId="13012"/>
    <cellStyle name="20% - Accent4 117" xfId="13013"/>
    <cellStyle name="20% - Accent4 118" xfId="13014"/>
    <cellStyle name="20% - Accent4 119" xfId="13015"/>
    <cellStyle name="20% - Accent4 12" xfId="9470"/>
    <cellStyle name="20% - Accent4 12 2" xfId="13016"/>
    <cellStyle name="20% - Accent4 12_Forecast" xfId="22125"/>
    <cellStyle name="20% - Accent4 120" xfId="13017"/>
    <cellStyle name="20% - Accent4 121" xfId="13018"/>
    <cellStyle name="20% - Accent4 122" xfId="13019"/>
    <cellStyle name="20% - Accent4 123" xfId="13020"/>
    <cellStyle name="20% - Accent4 124" xfId="13021"/>
    <cellStyle name="20% - Accent4 125" xfId="13022"/>
    <cellStyle name="20% - Accent4 126" xfId="13023"/>
    <cellStyle name="20% - Accent4 127" xfId="13024"/>
    <cellStyle name="20% - Accent4 128" xfId="13025"/>
    <cellStyle name="20% - Accent4 129" xfId="13026"/>
    <cellStyle name="20% - Accent4 13" xfId="12247"/>
    <cellStyle name="20% - Accent4 13 2" xfId="13027"/>
    <cellStyle name="20% - Accent4 13_Note Calc" xfId="26635"/>
    <cellStyle name="20% - Accent4 130" xfId="13028"/>
    <cellStyle name="20% - Accent4 131" xfId="13029"/>
    <cellStyle name="20% - Accent4 132" xfId="13030"/>
    <cellStyle name="20% - Accent4 133" xfId="13031"/>
    <cellStyle name="20% - Accent4 134" xfId="13032"/>
    <cellStyle name="20% - Accent4 135" xfId="13033"/>
    <cellStyle name="20% - Accent4 136" xfId="13034"/>
    <cellStyle name="20% - Accent4 137" xfId="13035"/>
    <cellStyle name="20% - Accent4 138" xfId="13036"/>
    <cellStyle name="20% - Accent4 139" xfId="13037"/>
    <cellStyle name="20% - Accent4 14" xfId="13038"/>
    <cellStyle name="20% - Accent4 140" xfId="13039"/>
    <cellStyle name="20% - Accent4 141" xfId="13040"/>
    <cellStyle name="20% - Accent4 142" xfId="13041"/>
    <cellStyle name="20% - Accent4 143" xfId="13042"/>
    <cellStyle name="20% - Accent4 144" xfId="13043"/>
    <cellStyle name="20% - Accent4 145" xfId="13044"/>
    <cellStyle name="20% - Accent4 146" xfId="13045"/>
    <cellStyle name="20% - Accent4 147" xfId="13046"/>
    <cellStyle name="20% - Accent4 148" xfId="13047"/>
    <cellStyle name="20% - Accent4 149" xfId="13048"/>
    <cellStyle name="20% - Accent4 15" xfId="13049"/>
    <cellStyle name="20% - Accent4 150" xfId="13050"/>
    <cellStyle name="20% - Accent4 151" xfId="13051"/>
    <cellStyle name="20% - Accent4 152" xfId="13052"/>
    <cellStyle name="20% - Accent4 153" xfId="13053"/>
    <cellStyle name="20% - Accent4 154" xfId="13054"/>
    <cellStyle name="20% - Accent4 155" xfId="13055"/>
    <cellStyle name="20% - Accent4 156" xfId="13056"/>
    <cellStyle name="20% - Accent4 157" xfId="13057"/>
    <cellStyle name="20% - Accent4 158" xfId="13058"/>
    <cellStyle name="20% - Accent4 159" xfId="13059"/>
    <cellStyle name="20% - Accent4 16" xfId="13060"/>
    <cellStyle name="20% - Accent4 160" xfId="13061"/>
    <cellStyle name="20% - Accent4 161" xfId="13062"/>
    <cellStyle name="20% - Accent4 162" xfId="13063"/>
    <cellStyle name="20% - Accent4 163" xfId="13064"/>
    <cellStyle name="20% - Accent4 163 2" xfId="21340"/>
    <cellStyle name="20% - Accent4 163 3" xfId="21341"/>
    <cellStyle name="20% - Accent4 163_Note Calc" xfId="26636"/>
    <cellStyle name="20% - Accent4 164" xfId="13065"/>
    <cellStyle name="20% - Accent4 165" xfId="13066"/>
    <cellStyle name="20% - Accent4 166" xfId="13067"/>
    <cellStyle name="20% - Accent4 167" xfId="13068"/>
    <cellStyle name="20% - Accent4 168" xfId="13069"/>
    <cellStyle name="20% - Accent4 169" xfId="13070"/>
    <cellStyle name="20% - Accent4 17" xfId="13071"/>
    <cellStyle name="20% - Accent4 170" xfId="13072"/>
    <cellStyle name="20% - Accent4 171" xfId="13073"/>
    <cellStyle name="20% - Accent4 172" xfId="13074"/>
    <cellStyle name="20% - Accent4 173" xfId="13075"/>
    <cellStyle name="20% - Accent4 174" xfId="13076"/>
    <cellStyle name="20% - Accent4 175" xfId="13077"/>
    <cellStyle name="20% - Accent4 176" xfId="13078"/>
    <cellStyle name="20% - Accent4 177" xfId="13079"/>
    <cellStyle name="20% - Accent4 178" xfId="13080"/>
    <cellStyle name="20% - Accent4 179" xfId="13081"/>
    <cellStyle name="20% - Accent4 18" xfId="13082"/>
    <cellStyle name="20% - Accent4 180" xfId="13083"/>
    <cellStyle name="20% - Accent4 181" xfId="13084"/>
    <cellStyle name="20% - Accent4 182" xfId="13085"/>
    <cellStyle name="20% - Accent4 183" xfId="13086"/>
    <cellStyle name="20% - Accent4 184" xfId="13087"/>
    <cellStyle name="20% - Accent4 185" xfId="13088"/>
    <cellStyle name="20% - Accent4 186" xfId="13089"/>
    <cellStyle name="20% - Accent4 187" xfId="13090"/>
    <cellStyle name="20% - Accent4 188" xfId="13091"/>
    <cellStyle name="20% - Accent4 189" xfId="13092"/>
    <cellStyle name="20% - Accent4 19" xfId="13093"/>
    <cellStyle name="20% - Accent4 190" xfId="13094"/>
    <cellStyle name="20% - Accent4 191" xfId="13095"/>
    <cellStyle name="20% - Accent4 192" xfId="13096"/>
    <cellStyle name="20% - Accent4 193" xfId="13097"/>
    <cellStyle name="20% - Accent4 194" xfId="13098"/>
    <cellStyle name="20% - Accent4 195" xfId="13099"/>
    <cellStyle name="20% - Accent4 196" xfId="13100"/>
    <cellStyle name="20% - Accent4 197" xfId="13101"/>
    <cellStyle name="20% - Accent4 198" xfId="13102"/>
    <cellStyle name="20% - Accent4 199" xfId="13103"/>
    <cellStyle name="20% - Accent4 2" xfId="95"/>
    <cellStyle name="20% - Accent4 2 10" xfId="96"/>
    <cellStyle name="20% - Accent4 2 11" xfId="97"/>
    <cellStyle name="20% - Accent4 2 12" xfId="98"/>
    <cellStyle name="20% - Accent4 2 13" xfId="99"/>
    <cellStyle name="20% - Accent4 2 14" xfId="100"/>
    <cellStyle name="20% - Accent4 2 15" xfId="101"/>
    <cellStyle name="20% - Accent4 2 16" xfId="102"/>
    <cellStyle name="20% - Accent4 2 17" xfId="103"/>
    <cellStyle name="20% - Accent4 2 18" xfId="104"/>
    <cellStyle name="20% - Accent4 2 19" xfId="105"/>
    <cellStyle name="20% - Accent4 2 2" xfId="106"/>
    <cellStyle name="20% - Accent4 2 2 2" xfId="7483"/>
    <cellStyle name="20% - Accent4 2 2 2 2" xfId="8923"/>
    <cellStyle name="20% - Accent4 2 2 2 2 2" xfId="11614"/>
    <cellStyle name="20% - Accent4 2 2 2 2 3" xfId="10301"/>
    <cellStyle name="20% - Accent4 2 2 2 2_Note Calc" xfId="26637"/>
    <cellStyle name="20% - Accent4 2 2 2 3" xfId="10926"/>
    <cellStyle name="20% - Accent4 2 2 2 4" xfId="9613"/>
    <cellStyle name="20% - Accent4 2 2 2_Forecast" xfId="22126"/>
    <cellStyle name="20% - Accent4 2 2 3" xfId="8210"/>
    <cellStyle name="20% - Accent4 2 2 3 2" xfId="9165"/>
    <cellStyle name="20% - Accent4 2 2 3 2 2" xfId="11856"/>
    <cellStyle name="20% - Accent4 2 2 3 2 3" xfId="10543"/>
    <cellStyle name="20% - Accent4 2 2 3 2_Note Calc" xfId="26638"/>
    <cellStyle name="20% - Accent4 2 2 3 3" xfId="11168"/>
    <cellStyle name="20% - Accent4 2 2 3 4" xfId="9855"/>
    <cellStyle name="20% - Accent4 2 2 3_Forecast" xfId="22127"/>
    <cellStyle name="20% - Accent4 2 2 4" xfId="8393"/>
    <cellStyle name="20% - Accent4 2 2 4 2" xfId="9306"/>
    <cellStyle name="20% - Accent4 2 2 4 2 2" xfId="11997"/>
    <cellStyle name="20% - Accent4 2 2 4 2 3" xfId="10684"/>
    <cellStyle name="20% - Accent4 2 2 4 2_Note Calc" xfId="26639"/>
    <cellStyle name="20% - Accent4 2 2 4 3" xfId="11309"/>
    <cellStyle name="20% - Accent4 2 2 4 4" xfId="9996"/>
    <cellStyle name="20% - Accent4 2 2 4_Forecast" xfId="22128"/>
    <cellStyle name="20% - Accent4 2 2 5" xfId="21342"/>
    <cellStyle name="20% - Accent4 2 2_SFPR" xfId="21868"/>
    <cellStyle name="20% - Accent4 2 20" xfId="107"/>
    <cellStyle name="20% - Accent4 2 21" xfId="108"/>
    <cellStyle name="20% - Accent4 2 22" xfId="109"/>
    <cellStyle name="20% - Accent4 2 23" xfId="110"/>
    <cellStyle name="20% - Accent4 2 24" xfId="111"/>
    <cellStyle name="20% - Accent4 2 25" xfId="112"/>
    <cellStyle name="20% - Accent4 2 26" xfId="113"/>
    <cellStyle name="20% - Accent4 2 27" xfId="114"/>
    <cellStyle name="20% - Accent4 2 28" xfId="115"/>
    <cellStyle name="20% - Accent4 2 29" xfId="116"/>
    <cellStyle name="20% - Accent4 2 3" xfId="117"/>
    <cellStyle name="20% - Accent4 2 3 2" xfId="7484"/>
    <cellStyle name="20% - Accent4 2 3 2 2" xfId="8924"/>
    <cellStyle name="20% - Accent4 2 3 2 2 2" xfId="11615"/>
    <cellStyle name="20% - Accent4 2 3 2 2 3" xfId="10302"/>
    <cellStyle name="20% - Accent4 2 3 2 2_Note Calc" xfId="26640"/>
    <cellStyle name="20% - Accent4 2 3 2 3" xfId="10927"/>
    <cellStyle name="20% - Accent4 2 3 2 4" xfId="9614"/>
    <cellStyle name="20% - Accent4 2 3 2_Forecast" xfId="22129"/>
    <cellStyle name="20% - Accent4 2 3 3" xfId="8211"/>
    <cellStyle name="20% - Accent4 2 3 3 2" xfId="9166"/>
    <cellStyle name="20% - Accent4 2 3 3 2 2" xfId="11857"/>
    <cellStyle name="20% - Accent4 2 3 3 2 3" xfId="10544"/>
    <cellStyle name="20% - Accent4 2 3 3 2_Note Calc" xfId="26641"/>
    <cellStyle name="20% - Accent4 2 3 3 3" xfId="11169"/>
    <cellStyle name="20% - Accent4 2 3 3 4" xfId="9856"/>
    <cellStyle name="20% - Accent4 2 3 3_Forecast" xfId="22130"/>
    <cellStyle name="20% - Accent4 2 3 4" xfId="8392"/>
    <cellStyle name="20% - Accent4 2 3 4 2" xfId="9305"/>
    <cellStyle name="20% - Accent4 2 3 4 2 2" xfId="11996"/>
    <cellStyle name="20% - Accent4 2 3 4 2 3" xfId="10683"/>
    <cellStyle name="20% - Accent4 2 3 4 2_Note Calc" xfId="26642"/>
    <cellStyle name="20% - Accent4 2 3 4 3" xfId="11308"/>
    <cellStyle name="20% - Accent4 2 3 4 4" xfId="9995"/>
    <cellStyle name="20% - Accent4 2 3 4_Forecast" xfId="22131"/>
    <cellStyle name="20% - Accent4 2 3 5" xfId="21343"/>
    <cellStyle name="20% - Accent4 2 3_SFPR" xfId="21869"/>
    <cellStyle name="20% - Accent4 2 30" xfId="118"/>
    <cellStyle name="20% - Accent4 2 31" xfId="7482"/>
    <cellStyle name="20% - Accent4 2 31 2" xfId="8922"/>
    <cellStyle name="20% - Accent4 2 31 2 2" xfId="11613"/>
    <cellStyle name="20% - Accent4 2 31 2 3" xfId="10300"/>
    <cellStyle name="20% - Accent4 2 31 2_Note Calc" xfId="26643"/>
    <cellStyle name="20% - Accent4 2 31 3" xfId="10925"/>
    <cellStyle name="20% - Accent4 2 31 4" xfId="9612"/>
    <cellStyle name="20% - Accent4 2 31_Forecast" xfId="22132"/>
    <cellStyle name="20% - Accent4 2 32" xfId="8209"/>
    <cellStyle name="20% - Accent4 2 32 2" xfId="9164"/>
    <cellStyle name="20% - Accent4 2 32 2 2" xfId="11855"/>
    <cellStyle name="20% - Accent4 2 32 2 3" xfId="10542"/>
    <cellStyle name="20% - Accent4 2 32 2_Note Calc" xfId="26644"/>
    <cellStyle name="20% - Accent4 2 32 3" xfId="11167"/>
    <cellStyle name="20% - Accent4 2 32 4" xfId="9854"/>
    <cellStyle name="20% - Accent4 2 32_Forecast" xfId="22133"/>
    <cellStyle name="20% - Accent4 2 33" xfId="8394"/>
    <cellStyle name="20% - Accent4 2 33 2" xfId="9307"/>
    <cellStyle name="20% - Accent4 2 33 2 2" xfId="11998"/>
    <cellStyle name="20% - Accent4 2 33 2 3" xfId="10685"/>
    <cellStyle name="20% - Accent4 2 33 2_Note Calc" xfId="26645"/>
    <cellStyle name="20% - Accent4 2 33 3" xfId="11310"/>
    <cellStyle name="20% - Accent4 2 33 4" xfId="9997"/>
    <cellStyle name="20% - Accent4 2 33_Forecast" xfId="22134"/>
    <cellStyle name="20% - Accent4 2 34" xfId="12102"/>
    <cellStyle name="20% - Accent4 2 35" xfId="13104"/>
    <cellStyle name="20% - Accent4 2 36" xfId="26646"/>
    <cellStyle name="20% - Accent4 2 4" xfId="119"/>
    <cellStyle name="20% - Accent4 2 4 2" xfId="7485"/>
    <cellStyle name="20% - Accent4 2 4 2 2" xfId="8925"/>
    <cellStyle name="20% - Accent4 2 4 2 2 2" xfId="11616"/>
    <cellStyle name="20% - Accent4 2 4 2 2 3" xfId="10303"/>
    <cellStyle name="20% - Accent4 2 4 2 2_Note Calc" xfId="26647"/>
    <cellStyle name="20% - Accent4 2 4 2 3" xfId="10928"/>
    <cellStyle name="20% - Accent4 2 4 2 4" xfId="9615"/>
    <cellStyle name="20% - Accent4 2 4 2_Forecast" xfId="22135"/>
    <cellStyle name="20% - Accent4 2 4 3" xfId="8212"/>
    <cellStyle name="20% - Accent4 2 4 3 2" xfId="9167"/>
    <cellStyle name="20% - Accent4 2 4 3 2 2" xfId="11858"/>
    <cellStyle name="20% - Accent4 2 4 3 2 3" xfId="10545"/>
    <cellStyle name="20% - Accent4 2 4 3 2_Note Calc" xfId="26648"/>
    <cellStyle name="20% - Accent4 2 4 3 3" xfId="11170"/>
    <cellStyle name="20% - Accent4 2 4 3 4" xfId="9857"/>
    <cellStyle name="20% - Accent4 2 4 3_Forecast" xfId="22136"/>
    <cellStyle name="20% - Accent4 2 4 4" xfId="8391"/>
    <cellStyle name="20% - Accent4 2 4 4 2" xfId="9304"/>
    <cellStyle name="20% - Accent4 2 4 4 2 2" xfId="11995"/>
    <cellStyle name="20% - Accent4 2 4 4 2 3" xfId="10682"/>
    <cellStyle name="20% - Accent4 2 4 4 2_Note Calc" xfId="26649"/>
    <cellStyle name="20% - Accent4 2 4 4 3" xfId="11307"/>
    <cellStyle name="20% - Accent4 2 4 4 4" xfId="9994"/>
    <cellStyle name="20% - Accent4 2 4 4_Forecast" xfId="22137"/>
    <cellStyle name="20% - Accent4 2 4 5" xfId="21344"/>
    <cellStyle name="20% - Accent4 2 4_SFPR" xfId="21870"/>
    <cellStyle name="20% - Accent4 2 5" xfId="120"/>
    <cellStyle name="20% - Accent4 2 5 2" xfId="7486"/>
    <cellStyle name="20% - Accent4 2 5 2 2" xfId="8926"/>
    <cellStyle name="20% - Accent4 2 5 2 2 2" xfId="11617"/>
    <cellStyle name="20% - Accent4 2 5 2 2 3" xfId="10304"/>
    <cellStyle name="20% - Accent4 2 5 2 2_Note Calc" xfId="26650"/>
    <cellStyle name="20% - Accent4 2 5 2 3" xfId="10929"/>
    <cellStyle name="20% - Accent4 2 5 2 4" xfId="9616"/>
    <cellStyle name="20% - Accent4 2 5 2_Forecast" xfId="22138"/>
    <cellStyle name="20% - Accent4 2 5 3" xfId="8213"/>
    <cellStyle name="20% - Accent4 2 5 3 2" xfId="9168"/>
    <cellStyle name="20% - Accent4 2 5 3 2 2" xfId="11859"/>
    <cellStyle name="20% - Accent4 2 5 3 2 3" xfId="10546"/>
    <cellStyle name="20% - Accent4 2 5 3 2_Note Calc" xfId="26651"/>
    <cellStyle name="20% - Accent4 2 5 3 3" xfId="11171"/>
    <cellStyle name="20% - Accent4 2 5 3 4" xfId="9858"/>
    <cellStyle name="20% - Accent4 2 5 3_Forecast" xfId="22139"/>
    <cellStyle name="20% - Accent4 2 5 4" xfId="8390"/>
    <cellStyle name="20% - Accent4 2 5 4 2" xfId="9303"/>
    <cellStyle name="20% - Accent4 2 5 4 2 2" xfId="11994"/>
    <cellStyle name="20% - Accent4 2 5 4 2 3" xfId="10681"/>
    <cellStyle name="20% - Accent4 2 5 4 2_Note Calc" xfId="26652"/>
    <cellStyle name="20% - Accent4 2 5 4 3" xfId="11306"/>
    <cellStyle name="20% - Accent4 2 5 4 4" xfId="9993"/>
    <cellStyle name="20% - Accent4 2 5 4_Forecast" xfId="22140"/>
    <cellStyle name="20% - Accent4 2 6" xfId="121"/>
    <cellStyle name="20% - Accent4 2 6 2" xfId="7487"/>
    <cellStyle name="20% - Accent4 2 6 2 2" xfId="8927"/>
    <cellStyle name="20% - Accent4 2 6 2 2 2" xfId="11618"/>
    <cellStyle name="20% - Accent4 2 6 2 2 3" xfId="10305"/>
    <cellStyle name="20% - Accent4 2 6 2 2_Note Calc" xfId="26653"/>
    <cellStyle name="20% - Accent4 2 6 2 3" xfId="10930"/>
    <cellStyle name="20% - Accent4 2 6 2 4" xfId="9617"/>
    <cellStyle name="20% - Accent4 2 6 2_Forecast" xfId="22141"/>
    <cellStyle name="20% - Accent4 2 6 3" xfId="8214"/>
    <cellStyle name="20% - Accent4 2 6 3 2" xfId="9169"/>
    <cellStyle name="20% - Accent4 2 6 3 2 2" xfId="11860"/>
    <cellStyle name="20% - Accent4 2 6 3 2 3" xfId="10547"/>
    <cellStyle name="20% - Accent4 2 6 3 2_Note Calc" xfId="26654"/>
    <cellStyle name="20% - Accent4 2 6 3 3" xfId="11172"/>
    <cellStyle name="20% - Accent4 2 6 3 4" xfId="9859"/>
    <cellStyle name="20% - Accent4 2 6 3_Forecast" xfId="22142"/>
    <cellStyle name="20% - Accent4 2 6 4" xfId="8389"/>
    <cellStyle name="20% - Accent4 2 6 4 2" xfId="9302"/>
    <cellStyle name="20% - Accent4 2 6 4 2 2" xfId="11993"/>
    <cellStyle name="20% - Accent4 2 6 4 2 3" xfId="10680"/>
    <cellStyle name="20% - Accent4 2 6 4 2_Note Calc" xfId="26655"/>
    <cellStyle name="20% - Accent4 2 6 4 3" xfId="11305"/>
    <cellStyle name="20% - Accent4 2 6 4 4" xfId="9992"/>
    <cellStyle name="20% - Accent4 2 6 4_Forecast" xfId="22143"/>
    <cellStyle name="20% - Accent4 2 7" xfId="122"/>
    <cellStyle name="20% - Accent4 2 7 2" xfId="7488"/>
    <cellStyle name="20% - Accent4 2 7 2 2" xfId="8928"/>
    <cellStyle name="20% - Accent4 2 7 2 2 2" xfId="11619"/>
    <cellStyle name="20% - Accent4 2 7 2 2 3" xfId="10306"/>
    <cellStyle name="20% - Accent4 2 7 2 2_Note Calc" xfId="26656"/>
    <cellStyle name="20% - Accent4 2 7 2 3" xfId="10931"/>
    <cellStyle name="20% - Accent4 2 7 2 4" xfId="9618"/>
    <cellStyle name="20% - Accent4 2 7 2_Forecast" xfId="22144"/>
    <cellStyle name="20% - Accent4 2 7 3" xfId="8215"/>
    <cellStyle name="20% - Accent4 2 7 3 2" xfId="9170"/>
    <cellStyle name="20% - Accent4 2 7 3 2 2" xfId="11861"/>
    <cellStyle name="20% - Accent4 2 7 3 2 3" xfId="10548"/>
    <cellStyle name="20% - Accent4 2 7 3 2_Note Calc" xfId="26657"/>
    <cellStyle name="20% - Accent4 2 7 3 3" xfId="11173"/>
    <cellStyle name="20% - Accent4 2 7 3 4" xfId="9860"/>
    <cellStyle name="20% - Accent4 2 7 3_Forecast" xfId="22145"/>
    <cellStyle name="20% - Accent4 2 7 4" xfId="8388"/>
    <cellStyle name="20% - Accent4 2 7 4 2" xfId="9301"/>
    <cellStyle name="20% - Accent4 2 7 4 2 2" xfId="11992"/>
    <cellStyle name="20% - Accent4 2 7 4 2 3" xfId="10679"/>
    <cellStyle name="20% - Accent4 2 7 4 2_Note Calc" xfId="26658"/>
    <cellStyle name="20% - Accent4 2 7 4 3" xfId="11304"/>
    <cellStyle name="20% - Accent4 2 7 4 4" xfId="9991"/>
    <cellStyle name="20% - Accent4 2 7 4_Forecast" xfId="22146"/>
    <cellStyle name="20% - Accent4 2 8" xfId="123"/>
    <cellStyle name="20% - Accent4 2 9" xfId="124"/>
    <cellStyle name="20% - Accent4 2_Forecast" xfId="22147"/>
    <cellStyle name="20% - Accent4 20" xfId="13105"/>
    <cellStyle name="20% - Accent4 200" xfId="13106"/>
    <cellStyle name="20% - Accent4 201" xfId="13107"/>
    <cellStyle name="20% - Accent4 202" xfId="13108"/>
    <cellStyle name="20% - Accent4 203" xfId="13109"/>
    <cellStyle name="20% - Accent4 204" xfId="13110"/>
    <cellStyle name="20% - Accent4 205" xfId="13111"/>
    <cellStyle name="20% - Accent4 206" xfId="13112"/>
    <cellStyle name="20% - Accent4 207" xfId="13113"/>
    <cellStyle name="20% - Accent4 208" xfId="13114"/>
    <cellStyle name="20% - Accent4 209" xfId="13115"/>
    <cellStyle name="20% - Accent4 21" xfId="13116"/>
    <cellStyle name="20% - Accent4 210" xfId="13117"/>
    <cellStyle name="20% - Accent4 211" xfId="13118"/>
    <cellStyle name="20% - Accent4 212" xfId="13119"/>
    <cellStyle name="20% - Accent4 213" xfId="13120"/>
    <cellStyle name="20% - Accent4 214" xfId="13121"/>
    <cellStyle name="20% - Accent4 215" xfId="13122"/>
    <cellStyle name="20% - Accent4 216" xfId="13123"/>
    <cellStyle name="20% - Accent4 217" xfId="13124"/>
    <cellStyle name="20% - Accent4 218" xfId="13125"/>
    <cellStyle name="20% - Accent4 219" xfId="13126"/>
    <cellStyle name="20% - Accent4 22" xfId="13127"/>
    <cellStyle name="20% - Accent4 220" xfId="13128"/>
    <cellStyle name="20% - Accent4 221" xfId="13129"/>
    <cellStyle name="20% - Accent4 222" xfId="13130"/>
    <cellStyle name="20% - Accent4 223" xfId="13131"/>
    <cellStyle name="20% - Accent4 224" xfId="13132"/>
    <cellStyle name="20% - Accent4 225" xfId="13133"/>
    <cellStyle name="20% - Accent4 226" xfId="13134"/>
    <cellStyle name="20% - Accent4 227" xfId="13135"/>
    <cellStyle name="20% - Accent4 228" xfId="13136"/>
    <cellStyle name="20% - Accent4 229" xfId="13137"/>
    <cellStyle name="20% - Accent4 23" xfId="13138"/>
    <cellStyle name="20% - Accent4 230" xfId="13139"/>
    <cellStyle name="20% - Accent4 231" xfId="13140"/>
    <cellStyle name="20% - Accent4 232" xfId="13141"/>
    <cellStyle name="20% - Accent4 233" xfId="13142"/>
    <cellStyle name="20% - Accent4 234" xfId="13143"/>
    <cellStyle name="20% - Accent4 235" xfId="13144"/>
    <cellStyle name="20% - Accent4 236" xfId="13145"/>
    <cellStyle name="20% - Accent4 237" xfId="13146"/>
    <cellStyle name="20% - Accent4 238" xfId="13147"/>
    <cellStyle name="20% - Accent4 239" xfId="13148"/>
    <cellStyle name="20% - Accent4 24" xfId="13149"/>
    <cellStyle name="20% - Accent4 240" xfId="13150"/>
    <cellStyle name="20% - Accent4 241" xfId="13151"/>
    <cellStyle name="20% - Accent4 242" xfId="13152"/>
    <cellStyle name="20% - Accent4 243" xfId="13153"/>
    <cellStyle name="20% - Accent4 244" xfId="13154"/>
    <cellStyle name="20% - Accent4 245" xfId="21345"/>
    <cellStyle name="20% - Accent4 246" xfId="21346"/>
    <cellStyle name="20% - Accent4 247" xfId="21347"/>
    <cellStyle name="20% - Accent4 248" xfId="21348"/>
    <cellStyle name="20% - Accent4 249" xfId="21349"/>
    <cellStyle name="20% - Accent4 25" xfId="13155"/>
    <cellStyle name="20% - Accent4 250" xfId="21350"/>
    <cellStyle name="20% - Accent4 251" xfId="21351"/>
    <cellStyle name="20% - Accent4 252" xfId="21352"/>
    <cellStyle name="20% - Accent4 253" xfId="21353"/>
    <cellStyle name="20% - Accent4 254" xfId="21354"/>
    <cellStyle name="20% - Accent4 255" xfId="21355"/>
    <cellStyle name="20% - Accent4 256" xfId="21356"/>
    <cellStyle name="20% - Accent4 257" xfId="21357"/>
    <cellStyle name="20% - Accent4 258" xfId="21788"/>
    <cellStyle name="20% - Accent4 259" xfId="21789"/>
    <cellStyle name="20% - Accent4 26" xfId="13156"/>
    <cellStyle name="20% - Accent4 260" xfId="21790"/>
    <cellStyle name="20% - Accent4 261" xfId="21791"/>
    <cellStyle name="20% - Accent4 262" xfId="21735"/>
    <cellStyle name="20% - Accent4 263" xfId="21978"/>
    <cellStyle name="20% - Accent4 264" xfId="21892"/>
    <cellStyle name="20% - Accent4 265" xfId="26659"/>
    <cellStyle name="20% - Accent4 27" xfId="13157"/>
    <cellStyle name="20% - Accent4 28" xfId="13158"/>
    <cellStyle name="20% - Accent4 29" xfId="13159"/>
    <cellStyle name="20% - Accent4 3" xfId="7416"/>
    <cellStyle name="20% - Accent4 3 10" xfId="8858"/>
    <cellStyle name="20% - Accent4 3 10 2" xfId="11549"/>
    <cellStyle name="20% - Accent4 3 10 3" xfId="10236"/>
    <cellStyle name="20% - Accent4 3 10_Note Calc" xfId="26660"/>
    <cellStyle name="20% - Accent4 3 11" xfId="10861"/>
    <cellStyle name="20% - Accent4 3 12" xfId="9548"/>
    <cellStyle name="20% - Accent4 3 12 2" xfId="22148"/>
    <cellStyle name="20% - Accent4 3 12_Forecast" xfId="22149"/>
    <cellStyle name="20% - Accent4 3 13" xfId="13160"/>
    <cellStyle name="20% - Accent4 3 14" xfId="22150"/>
    <cellStyle name="20% - Accent4 3 2" xfId="7489"/>
    <cellStyle name="20% - Accent4 3 2 2" xfId="8929"/>
    <cellStyle name="20% - Accent4 3 2 2 2" xfId="11620"/>
    <cellStyle name="20% - Accent4 3 2 2 3" xfId="10307"/>
    <cellStyle name="20% - Accent4 3 2 2_Note Calc" xfId="26661"/>
    <cellStyle name="20% - Accent4 3 2 3" xfId="10932"/>
    <cellStyle name="20% - Accent4 3 2 4" xfId="9619"/>
    <cellStyle name="20% - Accent4 3 2_Forecast" xfId="22151"/>
    <cellStyle name="20% - Accent4 3 3" xfId="7490"/>
    <cellStyle name="20% - Accent4 3 3 2" xfId="8930"/>
    <cellStyle name="20% - Accent4 3 3 2 2" xfId="11621"/>
    <cellStyle name="20% - Accent4 3 3 2 3" xfId="10308"/>
    <cellStyle name="20% - Accent4 3 3 2_Note Calc" xfId="26662"/>
    <cellStyle name="20% - Accent4 3 3 3" xfId="10933"/>
    <cellStyle name="20% - Accent4 3 3 4" xfId="9620"/>
    <cellStyle name="20% - Accent4 3 3_Forecast" xfId="22152"/>
    <cellStyle name="20% - Accent4 3 4" xfId="7491"/>
    <cellStyle name="20% - Accent4 3 4 2" xfId="8931"/>
    <cellStyle name="20% - Accent4 3 4 2 2" xfId="11622"/>
    <cellStyle name="20% - Accent4 3 4 2 3" xfId="10309"/>
    <cellStyle name="20% - Accent4 3 4 2_Note Calc" xfId="26663"/>
    <cellStyle name="20% - Accent4 3 4 3" xfId="10934"/>
    <cellStyle name="20% - Accent4 3 4 4" xfId="9621"/>
    <cellStyle name="20% - Accent4 3 4_Forecast" xfId="22153"/>
    <cellStyle name="20% - Accent4 3 5" xfId="7492"/>
    <cellStyle name="20% - Accent4 3 5 2" xfId="8932"/>
    <cellStyle name="20% - Accent4 3 5 2 2" xfId="11623"/>
    <cellStyle name="20% - Accent4 3 5 2 3" xfId="10310"/>
    <cellStyle name="20% - Accent4 3 5 2_Note Calc" xfId="26664"/>
    <cellStyle name="20% - Accent4 3 5 3" xfId="10935"/>
    <cellStyle name="20% - Accent4 3 5 4" xfId="9622"/>
    <cellStyle name="20% - Accent4 3 5_Forecast" xfId="22154"/>
    <cellStyle name="20% - Accent4 3 6" xfId="7493"/>
    <cellStyle name="20% - Accent4 3 6 2" xfId="8933"/>
    <cellStyle name="20% - Accent4 3 6 2 2" xfId="11624"/>
    <cellStyle name="20% - Accent4 3 6 2 3" xfId="10311"/>
    <cellStyle name="20% - Accent4 3 6 2_Note Calc" xfId="26665"/>
    <cellStyle name="20% - Accent4 3 6 3" xfId="10936"/>
    <cellStyle name="20% - Accent4 3 6 4" xfId="9623"/>
    <cellStyle name="20% - Accent4 3 6_Forecast" xfId="22155"/>
    <cellStyle name="20% - Accent4 3 7" xfId="7494"/>
    <cellStyle name="20% - Accent4 3 7 2" xfId="8934"/>
    <cellStyle name="20% - Accent4 3 7 2 2" xfId="11625"/>
    <cellStyle name="20% - Accent4 3 7 2 3" xfId="10312"/>
    <cellStyle name="20% - Accent4 3 7 2_Note Calc" xfId="26666"/>
    <cellStyle name="20% - Accent4 3 7 3" xfId="10937"/>
    <cellStyle name="20% - Accent4 3 7 4" xfId="9624"/>
    <cellStyle name="20% - Accent4 3 7_Forecast" xfId="22156"/>
    <cellStyle name="20% - Accent4 3 8" xfId="8216"/>
    <cellStyle name="20% - Accent4 3 8 2" xfId="9171"/>
    <cellStyle name="20% - Accent4 3 8 2 2" xfId="11862"/>
    <cellStyle name="20% - Accent4 3 8 2 3" xfId="10549"/>
    <cellStyle name="20% - Accent4 3 8 2_Note Calc" xfId="26667"/>
    <cellStyle name="20% - Accent4 3 8 3" xfId="11174"/>
    <cellStyle name="20% - Accent4 3 8 4" xfId="9861"/>
    <cellStyle name="20% - Accent4 3 8_Forecast" xfId="22157"/>
    <cellStyle name="20% - Accent4 3 9" xfId="8387"/>
    <cellStyle name="20% - Accent4 3 9 2" xfId="9300"/>
    <cellStyle name="20% - Accent4 3 9 2 2" xfId="11991"/>
    <cellStyle name="20% - Accent4 3 9 2 3" xfId="10678"/>
    <cellStyle name="20% - Accent4 3 9 2_Note Calc" xfId="26668"/>
    <cellStyle name="20% - Accent4 3 9 3" xfId="11303"/>
    <cellStyle name="20% - Accent4 3 9 4" xfId="9990"/>
    <cellStyle name="20% - Accent4 3 9_Forecast" xfId="22158"/>
    <cellStyle name="20% - Accent4 3_Forecast" xfId="22159"/>
    <cellStyle name="20% - Accent4 30" xfId="13161"/>
    <cellStyle name="20% - Accent4 31" xfId="13162"/>
    <cellStyle name="20% - Accent4 32" xfId="13163"/>
    <cellStyle name="20% - Accent4 33" xfId="13164"/>
    <cellStyle name="20% - Accent4 34" xfId="13165"/>
    <cellStyle name="20% - Accent4 35" xfId="13166"/>
    <cellStyle name="20% - Accent4 36" xfId="13167"/>
    <cellStyle name="20% - Accent4 37" xfId="13168"/>
    <cellStyle name="20% - Accent4 38" xfId="13169"/>
    <cellStyle name="20% - Accent4 39" xfId="13170"/>
    <cellStyle name="20% - Accent4 4" xfId="7495"/>
    <cellStyle name="20% - Accent4 4 2" xfId="8935"/>
    <cellStyle name="20% - Accent4 4 2 2" xfId="11626"/>
    <cellStyle name="20% - Accent4 4 2 3" xfId="10313"/>
    <cellStyle name="20% - Accent4 4 2_Note Calc" xfId="26669"/>
    <cellStyle name="20% - Accent4 4 3" xfId="10938"/>
    <cellStyle name="20% - Accent4 4 4" xfId="9625"/>
    <cellStyle name="20% - Accent4 4 5" xfId="13171"/>
    <cellStyle name="20% - Accent4 4_Forecast" xfId="22160"/>
    <cellStyle name="20% - Accent4 40" xfId="13172"/>
    <cellStyle name="20% - Accent4 41" xfId="13173"/>
    <cellStyle name="20% - Accent4 42" xfId="13174"/>
    <cellStyle name="20% - Accent4 43" xfId="13175"/>
    <cellStyle name="20% - Accent4 44" xfId="13176"/>
    <cellStyle name="20% - Accent4 45" xfId="13177"/>
    <cellStyle name="20% - Accent4 46" xfId="13178"/>
    <cellStyle name="20% - Accent4 47" xfId="13179"/>
    <cellStyle name="20% - Accent4 48" xfId="13180"/>
    <cellStyle name="20% - Accent4 49" xfId="13181"/>
    <cellStyle name="20% - Accent4 5" xfId="7496"/>
    <cellStyle name="20% - Accent4 5 2" xfId="8936"/>
    <cellStyle name="20% - Accent4 5 2 2" xfId="11627"/>
    <cellStyle name="20% - Accent4 5 2 3" xfId="10314"/>
    <cellStyle name="20% - Accent4 5 2_Note Calc" xfId="26670"/>
    <cellStyle name="20% - Accent4 5 3" xfId="10939"/>
    <cellStyle name="20% - Accent4 5 4" xfId="9626"/>
    <cellStyle name="20% - Accent4 5 5" xfId="13182"/>
    <cellStyle name="20% - Accent4 5_Forecast" xfId="22161"/>
    <cellStyle name="20% - Accent4 50" xfId="13183"/>
    <cellStyle name="20% - Accent4 51" xfId="13184"/>
    <cellStyle name="20% - Accent4 52" xfId="13185"/>
    <cellStyle name="20% - Accent4 53" xfId="13186"/>
    <cellStyle name="20% - Accent4 54" xfId="13187"/>
    <cellStyle name="20% - Accent4 55" xfId="13188"/>
    <cellStyle name="20% - Accent4 56" xfId="13189"/>
    <cellStyle name="20% - Accent4 57" xfId="13190"/>
    <cellStyle name="20% - Accent4 58" xfId="13191"/>
    <cellStyle name="20% - Accent4 59" xfId="13192"/>
    <cellStyle name="20% - Accent4 6" xfId="7497"/>
    <cellStyle name="20% - Accent4 6 2" xfId="8937"/>
    <cellStyle name="20% - Accent4 6 2 2" xfId="11628"/>
    <cellStyle name="20% - Accent4 6 2 3" xfId="10315"/>
    <cellStyle name="20% - Accent4 6 2_Note Calc" xfId="26671"/>
    <cellStyle name="20% - Accent4 6 3" xfId="10940"/>
    <cellStyle name="20% - Accent4 6 4" xfId="9627"/>
    <cellStyle name="20% - Accent4 6 5" xfId="13193"/>
    <cellStyle name="20% - Accent4 6_Forecast" xfId="22162"/>
    <cellStyle name="20% - Accent4 60" xfId="13194"/>
    <cellStyle name="20% - Accent4 61" xfId="13195"/>
    <cellStyle name="20% - Accent4 62" xfId="13196"/>
    <cellStyle name="20% - Accent4 63" xfId="13197"/>
    <cellStyle name="20% - Accent4 64" xfId="13198"/>
    <cellStyle name="20% - Accent4 65" xfId="13199"/>
    <cellStyle name="20% - Accent4 66" xfId="13200"/>
    <cellStyle name="20% - Accent4 67" xfId="13201"/>
    <cellStyle name="20% - Accent4 68" xfId="13202"/>
    <cellStyle name="20% - Accent4 69" xfId="13203"/>
    <cellStyle name="20% - Accent4 7" xfId="7498"/>
    <cellStyle name="20% - Accent4 7 2" xfId="8938"/>
    <cellStyle name="20% - Accent4 7 2 2" xfId="11629"/>
    <cellStyle name="20% - Accent4 7 2 3" xfId="10316"/>
    <cellStyle name="20% - Accent4 7 2_Note Calc" xfId="26672"/>
    <cellStyle name="20% - Accent4 7 3" xfId="10941"/>
    <cellStyle name="20% - Accent4 7 4" xfId="9628"/>
    <cellStyle name="20% - Accent4 7 5" xfId="13204"/>
    <cellStyle name="20% - Accent4 7_Forecast" xfId="22163"/>
    <cellStyle name="20% - Accent4 70" xfId="13205"/>
    <cellStyle name="20% - Accent4 71" xfId="13206"/>
    <cellStyle name="20% - Accent4 72" xfId="13207"/>
    <cellStyle name="20% - Accent4 73" xfId="13208"/>
    <cellStyle name="20% - Accent4 74" xfId="13209"/>
    <cellStyle name="20% - Accent4 75" xfId="13210"/>
    <cellStyle name="20% - Accent4 76" xfId="13211"/>
    <cellStyle name="20% - Accent4 77" xfId="13212"/>
    <cellStyle name="20% - Accent4 78" xfId="13213"/>
    <cellStyle name="20% - Accent4 79" xfId="13214"/>
    <cellStyle name="20% - Accent4 8" xfId="7499"/>
    <cellStyle name="20% - Accent4 8 2" xfId="8939"/>
    <cellStyle name="20% - Accent4 8 2 2" xfId="11630"/>
    <cellStyle name="20% - Accent4 8 2 3" xfId="10317"/>
    <cellStyle name="20% - Accent4 8 2_Note Calc" xfId="26673"/>
    <cellStyle name="20% - Accent4 8 3" xfId="10942"/>
    <cellStyle name="20% - Accent4 8 4" xfId="9629"/>
    <cellStyle name="20% - Accent4 8 5" xfId="13215"/>
    <cellStyle name="20% - Accent4 8_Forecast" xfId="22164"/>
    <cellStyle name="20% - Accent4 80" xfId="13216"/>
    <cellStyle name="20% - Accent4 81" xfId="13217"/>
    <cellStyle name="20% - Accent4 82" xfId="13218"/>
    <cellStyle name="20% - Accent4 83" xfId="13219"/>
    <cellStyle name="20% - Accent4 84" xfId="13220"/>
    <cellStyle name="20% - Accent4 85" xfId="13221"/>
    <cellStyle name="20% - Accent4 86" xfId="13222"/>
    <cellStyle name="20% - Accent4 87" xfId="13223"/>
    <cellStyle name="20% - Accent4 88" xfId="13224"/>
    <cellStyle name="20% - Accent4 89" xfId="13225"/>
    <cellStyle name="20% - Accent4 9" xfId="7500"/>
    <cellStyle name="20% - Accent4 9 2" xfId="8940"/>
    <cellStyle name="20% - Accent4 9 2 2" xfId="11631"/>
    <cellStyle name="20% - Accent4 9 2 3" xfId="10318"/>
    <cellStyle name="20% - Accent4 9 2_Note Calc" xfId="26674"/>
    <cellStyle name="20% - Accent4 9 3" xfId="10943"/>
    <cellStyle name="20% - Accent4 9 4" xfId="9630"/>
    <cellStyle name="20% - Accent4 9 5" xfId="13226"/>
    <cellStyle name="20% - Accent4 9_Forecast" xfId="22165"/>
    <cellStyle name="20% - Accent4 90" xfId="13227"/>
    <cellStyle name="20% - Accent4 91" xfId="13228"/>
    <cellStyle name="20% - Accent4 92" xfId="13229"/>
    <cellStyle name="20% - Accent4 93" xfId="13230"/>
    <cellStyle name="20% - Accent4 94" xfId="13231"/>
    <cellStyle name="20% - Accent4 95" xfId="13232"/>
    <cellStyle name="20% - Accent4 96" xfId="13233"/>
    <cellStyle name="20% - Accent4 97" xfId="13234"/>
    <cellStyle name="20% - Accent4 98" xfId="13235"/>
    <cellStyle name="20% - Accent4 99" xfId="13236"/>
    <cellStyle name="20% - Accent5" xfId="125" builtinId="46" customBuiltin="1"/>
    <cellStyle name="20% - Accent5 10" xfId="8780"/>
    <cellStyle name="20% - Accent5 10 2" xfId="11472"/>
    <cellStyle name="20% - Accent5 10 3" xfId="10159"/>
    <cellStyle name="20% - Accent5 10 4" xfId="13237"/>
    <cellStyle name="20% - Accent5 10_Note Calc" xfId="26675"/>
    <cellStyle name="20% - Accent5 100" xfId="13238"/>
    <cellStyle name="20% - Accent5 101" xfId="13239"/>
    <cellStyle name="20% - Accent5 102" xfId="13240"/>
    <cellStyle name="20% - Accent5 103" xfId="13241"/>
    <cellStyle name="20% - Accent5 104" xfId="13242"/>
    <cellStyle name="20% - Accent5 105" xfId="13243"/>
    <cellStyle name="20% - Accent5 106" xfId="13244"/>
    <cellStyle name="20% - Accent5 107" xfId="13245"/>
    <cellStyle name="20% - Accent5 108" xfId="13246"/>
    <cellStyle name="20% - Accent5 109" xfId="13247"/>
    <cellStyle name="20% - Accent5 11" xfId="10784"/>
    <cellStyle name="20% - Accent5 11 2" xfId="13248"/>
    <cellStyle name="20% - Accent5 11_Forecast" xfId="22166"/>
    <cellStyle name="20% - Accent5 110" xfId="13249"/>
    <cellStyle name="20% - Accent5 111" xfId="13250"/>
    <cellStyle name="20% - Accent5 112" xfId="13251"/>
    <cellStyle name="20% - Accent5 113" xfId="13252"/>
    <cellStyle name="20% - Accent5 114" xfId="13253"/>
    <cellStyle name="20% - Accent5 115" xfId="13254"/>
    <cellStyle name="20% - Accent5 116" xfId="13255"/>
    <cellStyle name="20% - Accent5 117" xfId="13256"/>
    <cellStyle name="20% - Accent5 118" xfId="13257"/>
    <cellStyle name="20% - Accent5 119" xfId="13258"/>
    <cellStyle name="20% - Accent5 12" xfId="9471"/>
    <cellStyle name="20% - Accent5 12 2" xfId="13259"/>
    <cellStyle name="20% - Accent5 12_Forecast" xfId="22167"/>
    <cellStyle name="20% - Accent5 120" xfId="13260"/>
    <cellStyle name="20% - Accent5 121" xfId="13261"/>
    <cellStyle name="20% - Accent5 122" xfId="13262"/>
    <cellStyle name="20% - Accent5 123" xfId="13263"/>
    <cellStyle name="20% - Accent5 124" xfId="13264"/>
    <cellStyle name="20% - Accent5 125" xfId="13265"/>
    <cellStyle name="20% - Accent5 126" xfId="13266"/>
    <cellStyle name="20% - Accent5 127" xfId="13267"/>
    <cellStyle name="20% - Accent5 128" xfId="13268"/>
    <cellStyle name="20% - Accent5 129" xfId="13269"/>
    <cellStyle name="20% - Accent5 13" xfId="12251"/>
    <cellStyle name="20% - Accent5 13 2" xfId="13270"/>
    <cellStyle name="20% - Accent5 13_Note Calc" xfId="26676"/>
    <cellStyle name="20% - Accent5 130" xfId="13271"/>
    <cellStyle name="20% - Accent5 131" xfId="13272"/>
    <cellStyle name="20% - Accent5 132" xfId="13273"/>
    <cellStyle name="20% - Accent5 133" xfId="13274"/>
    <cellStyle name="20% - Accent5 134" xfId="13275"/>
    <cellStyle name="20% - Accent5 135" xfId="13276"/>
    <cellStyle name="20% - Accent5 136" xfId="13277"/>
    <cellStyle name="20% - Accent5 137" xfId="13278"/>
    <cellStyle name="20% - Accent5 138" xfId="13279"/>
    <cellStyle name="20% - Accent5 139" xfId="13280"/>
    <cellStyle name="20% - Accent5 14" xfId="13281"/>
    <cellStyle name="20% - Accent5 140" xfId="13282"/>
    <cellStyle name="20% - Accent5 141" xfId="13283"/>
    <cellStyle name="20% - Accent5 142" xfId="13284"/>
    <cellStyle name="20% - Accent5 143" xfId="13285"/>
    <cellStyle name="20% - Accent5 144" xfId="13286"/>
    <cellStyle name="20% - Accent5 145" xfId="13287"/>
    <cellStyle name="20% - Accent5 146" xfId="13288"/>
    <cellStyle name="20% - Accent5 147" xfId="13289"/>
    <cellStyle name="20% - Accent5 148" xfId="13290"/>
    <cellStyle name="20% - Accent5 149" xfId="13291"/>
    <cellStyle name="20% - Accent5 15" xfId="13292"/>
    <cellStyle name="20% - Accent5 150" xfId="13293"/>
    <cellStyle name="20% - Accent5 151" xfId="13294"/>
    <cellStyle name="20% - Accent5 152" xfId="13295"/>
    <cellStyle name="20% - Accent5 153" xfId="13296"/>
    <cellStyle name="20% - Accent5 154" xfId="13297"/>
    <cellStyle name="20% - Accent5 155" xfId="13298"/>
    <cellStyle name="20% - Accent5 156" xfId="13299"/>
    <cellStyle name="20% - Accent5 157" xfId="13300"/>
    <cellStyle name="20% - Accent5 158" xfId="13301"/>
    <cellStyle name="20% - Accent5 159" xfId="13302"/>
    <cellStyle name="20% - Accent5 16" xfId="13303"/>
    <cellStyle name="20% - Accent5 160" xfId="13304"/>
    <cellStyle name="20% - Accent5 161" xfId="13305"/>
    <cellStyle name="20% - Accent5 162" xfId="13306"/>
    <cellStyle name="20% - Accent5 163" xfId="13307"/>
    <cellStyle name="20% - Accent5 163 2" xfId="21358"/>
    <cellStyle name="20% - Accent5 163 3" xfId="21359"/>
    <cellStyle name="20% - Accent5 163_Note Calc" xfId="26677"/>
    <cellStyle name="20% - Accent5 164" xfId="13308"/>
    <cellStyle name="20% - Accent5 165" xfId="13309"/>
    <cellStyle name="20% - Accent5 166" xfId="13310"/>
    <cellStyle name="20% - Accent5 167" xfId="13311"/>
    <cellStyle name="20% - Accent5 168" xfId="13312"/>
    <cellStyle name="20% - Accent5 169" xfId="13313"/>
    <cellStyle name="20% - Accent5 17" xfId="13314"/>
    <cellStyle name="20% - Accent5 170" xfId="13315"/>
    <cellStyle name="20% - Accent5 171" xfId="13316"/>
    <cellStyle name="20% - Accent5 172" xfId="13317"/>
    <cellStyle name="20% - Accent5 173" xfId="13318"/>
    <cellStyle name="20% - Accent5 174" xfId="13319"/>
    <cellStyle name="20% - Accent5 175" xfId="13320"/>
    <cellStyle name="20% - Accent5 176" xfId="13321"/>
    <cellStyle name="20% - Accent5 177" xfId="13322"/>
    <cellStyle name="20% - Accent5 178" xfId="13323"/>
    <cellStyle name="20% - Accent5 179" xfId="13324"/>
    <cellStyle name="20% - Accent5 18" xfId="13325"/>
    <cellStyle name="20% - Accent5 180" xfId="13326"/>
    <cellStyle name="20% - Accent5 181" xfId="13327"/>
    <cellStyle name="20% - Accent5 182" xfId="13328"/>
    <cellStyle name="20% - Accent5 183" xfId="13329"/>
    <cellStyle name="20% - Accent5 184" xfId="13330"/>
    <cellStyle name="20% - Accent5 185" xfId="13331"/>
    <cellStyle name="20% - Accent5 186" xfId="13332"/>
    <cellStyle name="20% - Accent5 187" xfId="13333"/>
    <cellStyle name="20% - Accent5 188" xfId="13334"/>
    <cellStyle name="20% - Accent5 189" xfId="13335"/>
    <cellStyle name="20% - Accent5 19" xfId="13336"/>
    <cellStyle name="20% - Accent5 190" xfId="13337"/>
    <cellStyle name="20% - Accent5 191" xfId="13338"/>
    <cellStyle name="20% - Accent5 192" xfId="13339"/>
    <cellStyle name="20% - Accent5 193" xfId="13340"/>
    <cellStyle name="20% - Accent5 194" xfId="13341"/>
    <cellStyle name="20% - Accent5 195" xfId="13342"/>
    <cellStyle name="20% - Accent5 196" xfId="13343"/>
    <cellStyle name="20% - Accent5 197" xfId="13344"/>
    <cellStyle name="20% - Accent5 198" xfId="13345"/>
    <cellStyle name="20% - Accent5 199" xfId="13346"/>
    <cellStyle name="20% - Accent5 2" xfId="126"/>
    <cellStyle name="20% - Accent5 2 10" xfId="127"/>
    <cellStyle name="20% - Accent5 2 11" xfId="128"/>
    <cellStyle name="20% - Accent5 2 12" xfId="129"/>
    <cellStyle name="20% - Accent5 2 13" xfId="130"/>
    <cellStyle name="20% - Accent5 2 14" xfId="131"/>
    <cellStyle name="20% - Accent5 2 15" xfId="132"/>
    <cellStyle name="20% - Accent5 2 16" xfId="133"/>
    <cellStyle name="20% - Accent5 2 17" xfId="134"/>
    <cellStyle name="20% - Accent5 2 18" xfId="135"/>
    <cellStyle name="20% - Accent5 2 19" xfId="136"/>
    <cellStyle name="20% - Accent5 2 2" xfId="137"/>
    <cellStyle name="20% - Accent5 2 2 2" xfId="7502"/>
    <cellStyle name="20% - Accent5 2 2 2 2" xfId="8942"/>
    <cellStyle name="20% - Accent5 2 2 2 2 2" xfId="11633"/>
    <cellStyle name="20% - Accent5 2 2 2 2 3" xfId="10320"/>
    <cellStyle name="20% - Accent5 2 2 2 2_Note Calc" xfId="26678"/>
    <cellStyle name="20% - Accent5 2 2 2 3" xfId="10945"/>
    <cellStyle name="20% - Accent5 2 2 2 4" xfId="9632"/>
    <cellStyle name="20% - Accent5 2 2 2_Forecast" xfId="22168"/>
    <cellStyle name="20% - Accent5 2 2 3" xfId="8219"/>
    <cellStyle name="20% - Accent5 2 2 3 2" xfId="9173"/>
    <cellStyle name="20% - Accent5 2 2 3 2 2" xfId="11864"/>
    <cellStyle name="20% - Accent5 2 2 3 2 3" xfId="10551"/>
    <cellStyle name="20% - Accent5 2 2 3 2_Note Calc" xfId="26679"/>
    <cellStyle name="20% - Accent5 2 2 3 3" xfId="11176"/>
    <cellStyle name="20% - Accent5 2 2 3 4" xfId="9863"/>
    <cellStyle name="20% - Accent5 2 2 3_Forecast" xfId="22169"/>
    <cellStyle name="20% - Accent5 2 2 4" xfId="8378"/>
    <cellStyle name="20% - Accent5 2 2 4 2" xfId="9296"/>
    <cellStyle name="20% - Accent5 2 2 4 2 2" xfId="11987"/>
    <cellStyle name="20% - Accent5 2 2 4 2 3" xfId="10674"/>
    <cellStyle name="20% - Accent5 2 2 4 2_Note Calc" xfId="26680"/>
    <cellStyle name="20% - Accent5 2 2 4 3" xfId="11299"/>
    <cellStyle name="20% - Accent5 2 2 4 4" xfId="9986"/>
    <cellStyle name="20% - Accent5 2 2 4_Forecast" xfId="22170"/>
    <cellStyle name="20% - Accent5 2 2 5" xfId="21360"/>
    <cellStyle name="20% - Accent5 2 2_SFPR" xfId="21871"/>
    <cellStyle name="20% - Accent5 2 20" xfId="138"/>
    <cellStyle name="20% - Accent5 2 21" xfId="139"/>
    <cellStyle name="20% - Accent5 2 22" xfId="140"/>
    <cellStyle name="20% - Accent5 2 23" xfId="141"/>
    <cellStyle name="20% - Accent5 2 24" xfId="142"/>
    <cellStyle name="20% - Accent5 2 25" xfId="143"/>
    <cellStyle name="20% - Accent5 2 26" xfId="144"/>
    <cellStyle name="20% - Accent5 2 27" xfId="145"/>
    <cellStyle name="20% - Accent5 2 28" xfId="146"/>
    <cellStyle name="20% - Accent5 2 29" xfId="147"/>
    <cellStyle name="20% - Accent5 2 3" xfId="148"/>
    <cellStyle name="20% - Accent5 2 3 2" xfId="7503"/>
    <cellStyle name="20% - Accent5 2 3 2 2" xfId="8943"/>
    <cellStyle name="20% - Accent5 2 3 2 2 2" xfId="11634"/>
    <cellStyle name="20% - Accent5 2 3 2 2 3" xfId="10321"/>
    <cellStyle name="20% - Accent5 2 3 2 2_Note Calc" xfId="26681"/>
    <cellStyle name="20% - Accent5 2 3 2 3" xfId="10946"/>
    <cellStyle name="20% - Accent5 2 3 2 4" xfId="9633"/>
    <cellStyle name="20% - Accent5 2 3 2_Forecast" xfId="22171"/>
    <cellStyle name="20% - Accent5 2 3 3" xfId="8220"/>
    <cellStyle name="20% - Accent5 2 3 3 2" xfId="9174"/>
    <cellStyle name="20% - Accent5 2 3 3 2 2" xfId="11865"/>
    <cellStyle name="20% - Accent5 2 3 3 2 3" xfId="10552"/>
    <cellStyle name="20% - Accent5 2 3 3 2_Note Calc" xfId="26682"/>
    <cellStyle name="20% - Accent5 2 3 3 3" xfId="11177"/>
    <cellStyle name="20% - Accent5 2 3 3 4" xfId="9864"/>
    <cellStyle name="20% - Accent5 2 3 3_Forecast" xfId="22172"/>
    <cellStyle name="20% - Accent5 2 3 4" xfId="8377"/>
    <cellStyle name="20% - Accent5 2 3 4 2" xfId="9295"/>
    <cellStyle name="20% - Accent5 2 3 4 2 2" xfId="11986"/>
    <cellStyle name="20% - Accent5 2 3 4 2 3" xfId="10673"/>
    <cellStyle name="20% - Accent5 2 3 4 2_Note Calc" xfId="26683"/>
    <cellStyle name="20% - Accent5 2 3 4 3" xfId="11298"/>
    <cellStyle name="20% - Accent5 2 3 4 4" xfId="9985"/>
    <cellStyle name="20% - Accent5 2 3 4_Forecast" xfId="22173"/>
    <cellStyle name="20% - Accent5 2 3 5" xfId="21361"/>
    <cellStyle name="20% - Accent5 2 3_SFPR" xfId="21872"/>
    <cellStyle name="20% - Accent5 2 30" xfId="149"/>
    <cellStyle name="20% - Accent5 2 31" xfId="7501"/>
    <cellStyle name="20% - Accent5 2 31 2" xfId="8941"/>
    <cellStyle name="20% - Accent5 2 31 2 2" xfId="11632"/>
    <cellStyle name="20% - Accent5 2 31 2 3" xfId="10319"/>
    <cellStyle name="20% - Accent5 2 31 2_Note Calc" xfId="26684"/>
    <cellStyle name="20% - Accent5 2 31 3" xfId="10944"/>
    <cellStyle name="20% - Accent5 2 31 4" xfId="9631"/>
    <cellStyle name="20% - Accent5 2 31_Forecast" xfId="22174"/>
    <cellStyle name="20% - Accent5 2 32" xfId="8218"/>
    <cellStyle name="20% - Accent5 2 32 2" xfId="9172"/>
    <cellStyle name="20% - Accent5 2 32 2 2" xfId="11863"/>
    <cellStyle name="20% - Accent5 2 32 2 3" xfId="10550"/>
    <cellStyle name="20% - Accent5 2 32 2_Note Calc" xfId="26685"/>
    <cellStyle name="20% - Accent5 2 32 3" xfId="11175"/>
    <cellStyle name="20% - Accent5 2 32 4" xfId="9862"/>
    <cellStyle name="20% - Accent5 2 32_Forecast" xfId="22175"/>
    <cellStyle name="20% - Accent5 2 33" xfId="8379"/>
    <cellStyle name="20% - Accent5 2 33 2" xfId="9297"/>
    <cellStyle name="20% - Accent5 2 33 2 2" xfId="11988"/>
    <cellStyle name="20% - Accent5 2 33 2 3" xfId="10675"/>
    <cellStyle name="20% - Accent5 2 33 2_Note Calc" xfId="26686"/>
    <cellStyle name="20% - Accent5 2 33 3" xfId="11300"/>
    <cellStyle name="20% - Accent5 2 33 4" xfId="9987"/>
    <cellStyle name="20% - Accent5 2 33_Forecast" xfId="22176"/>
    <cellStyle name="20% - Accent5 2 34" xfId="12103"/>
    <cellStyle name="20% - Accent5 2 35" xfId="13347"/>
    <cellStyle name="20% - Accent5 2 36" xfId="26687"/>
    <cellStyle name="20% - Accent5 2 4" xfId="150"/>
    <cellStyle name="20% - Accent5 2 4 2" xfId="7504"/>
    <cellStyle name="20% - Accent5 2 4 2 2" xfId="8944"/>
    <cellStyle name="20% - Accent5 2 4 2 2 2" xfId="11635"/>
    <cellStyle name="20% - Accent5 2 4 2 2 3" xfId="10322"/>
    <cellStyle name="20% - Accent5 2 4 2 2_Note Calc" xfId="26688"/>
    <cellStyle name="20% - Accent5 2 4 2 3" xfId="10947"/>
    <cellStyle name="20% - Accent5 2 4 2 4" xfId="9634"/>
    <cellStyle name="20% - Accent5 2 4 2_Forecast" xfId="22177"/>
    <cellStyle name="20% - Accent5 2 4 3" xfId="8221"/>
    <cellStyle name="20% - Accent5 2 4 3 2" xfId="9175"/>
    <cellStyle name="20% - Accent5 2 4 3 2 2" xfId="11866"/>
    <cellStyle name="20% - Accent5 2 4 3 2 3" xfId="10553"/>
    <cellStyle name="20% - Accent5 2 4 3 2_Note Calc" xfId="26689"/>
    <cellStyle name="20% - Accent5 2 4 3 3" xfId="11178"/>
    <cellStyle name="20% - Accent5 2 4 3 4" xfId="9865"/>
    <cellStyle name="20% - Accent5 2 4 3_Forecast" xfId="22178"/>
    <cellStyle name="20% - Accent5 2 4 4" xfId="8376"/>
    <cellStyle name="20% - Accent5 2 4 4 2" xfId="9294"/>
    <cellStyle name="20% - Accent5 2 4 4 2 2" xfId="11985"/>
    <cellStyle name="20% - Accent5 2 4 4 2 3" xfId="10672"/>
    <cellStyle name="20% - Accent5 2 4 4 2_Note Calc" xfId="26690"/>
    <cellStyle name="20% - Accent5 2 4 4 3" xfId="11297"/>
    <cellStyle name="20% - Accent5 2 4 4 4" xfId="9984"/>
    <cellStyle name="20% - Accent5 2 4 4_Forecast" xfId="22179"/>
    <cellStyle name="20% - Accent5 2 4 5" xfId="21362"/>
    <cellStyle name="20% - Accent5 2 4_SFPR" xfId="21873"/>
    <cellStyle name="20% - Accent5 2 5" xfId="151"/>
    <cellStyle name="20% - Accent5 2 5 2" xfId="7505"/>
    <cellStyle name="20% - Accent5 2 5 2 2" xfId="8945"/>
    <cellStyle name="20% - Accent5 2 5 2 2 2" xfId="11636"/>
    <cellStyle name="20% - Accent5 2 5 2 2 3" xfId="10323"/>
    <cellStyle name="20% - Accent5 2 5 2 2_Note Calc" xfId="26691"/>
    <cellStyle name="20% - Accent5 2 5 2 3" xfId="10948"/>
    <cellStyle name="20% - Accent5 2 5 2 4" xfId="9635"/>
    <cellStyle name="20% - Accent5 2 5 2_Forecast" xfId="22180"/>
    <cellStyle name="20% - Accent5 2 5 3" xfId="8222"/>
    <cellStyle name="20% - Accent5 2 5 3 2" xfId="9176"/>
    <cellStyle name="20% - Accent5 2 5 3 2 2" xfId="11867"/>
    <cellStyle name="20% - Accent5 2 5 3 2 3" xfId="10554"/>
    <cellStyle name="20% - Accent5 2 5 3 2_Note Calc" xfId="26692"/>
    <cellStyle name="20% - Accent5 2 5 3 3" xfId="11179"/>
    <cellStyle name="20% - Accent5 2 5 3 4" xfId="9866"/>
    <cellStyle name="20% - Accent5 2 5 3_Forecast" xfId="22181"/>
    <cellStyle name="20% - Accent5 2 5 4" xfId="8375"/>
    <cellStyle name="20% - Accent5 2 5 4 2" xfId="9293"/>
    <cellStyle name="20% - Accent5 2 5 4 2 2" xfId="11984"/>
    <cellStyle name="20% - Accent5 2 5 4 2 3" xfId="10671"/>
    <cellStyle name="20% - Accent5 2 5 4 2_Note Calc" xfId="26693"/>
    <cellStyle name="20% - Accent5 2 5 4 3" xfId="11296"/>
    <cellStyle name="20% - Accent5 2 5 4 4" xfId="9983"/>
    <cellStyle name="20% - Accent5 2 5 4_Forecast" xfId="22182"/>
    <cellStyle name="20% - Accent5 2 6" xfId="152"/>
    <cellStyle name="20% - Accent5 2 6 2" xfId="7506"/>
    <cellStyle name="20% - Accent5 2 6 2 2" xfId="8946"/>
    <cellStyle name="20% - Accent5 2 6 2 2 2" xfId="11637"/>
    <cellStyle name="20% - Accent5 2 6 2 2 3" xfId="10324"/>
    <cellStyle name="20% - Accent5 2 6 2 2_Note Calc" xfId="26694"/>
    <cellStyle name="20% - Accent5 2 6 2 3" xfId="10949"/>
    <cellStyle name="20% - Accent5 2 6 2 4" xfId="9636"/>
    <cellStyle name="20% - Accent5 2 6 2_Forecast" xfId="22183"/>
    <cellStyle name="20% - Accent5 2 6 3" xfId="8223"/>
    <cellStyle name="20% - Accent5 2 6 3 2" xfId="9177"/>
    <cellStyle name="20% - Accent5 2 6 3 2 2" xfId="11868"/>
    <cellStyle name="20% - Accent5 2 6 3 2 3" xfId="10555"/>
    <cellStyle name="20% - Accent5 2 6 3 2_Note Calc" xfId="26695"/>
    <cellStyle name="20% - Accent5 2 6 3 3" xfId="11180"/>
    <cellStyle name="20% - Accent5 2 6 3 4" xfId="9867"/>
    <cellStyle name="20% - Accent5 2 6 3_Forecast" xfId="22184"/>
    <cellStyle name="20% - Accent5 2 6 4" xfId="8374"/>
    <cellStyle name="20% - Accent5 2 6 4 2" xfId="9292"/>
    <cellStyle name="20% - Accent5 2 6 4 2 2" xfId="11983"/>
    <cellStyle name="20% - Accent5 2 6 4 2 3" xfId="10670"/>
    <cellStyle name="20% - Accent5 2 6 4 2_Note Calc" xfId="26696"/>
    <cellStyle name="20% - Accent5 2 6 4 3" xfId="11295"/>
    <cellStyle name="20% - Accent5 2 6 4 4" xfId="9982"/>
    <cellStyle name="20% - Accent5 2 6 4_Forecast" xfId="22185"/>
    <cellStyle name="20% - Accent5 2 7" xfId="153"/>
    <cellStyle name="20% - Accent5 2 7 2" xfId="7507"/>
    <cellStyle name="20% - Accent5 2 7 2 2" xfId="8947"/>
    <cellStyle name="20% - Accent5 2 7 2 2 2" xfId="11638"/>
    <cellStyle name="20% - Accent5 2 7 2 2 3" xfId="10325"/>
    <cellStyle name="20% - Accent5 2 7 2 2_Note Calc" xfId="26697"/>
    <cellStyle name="20% - Accent5 2 7 2 3" xfId="10950"/>
    <cellStyle name="20% - Accent5 2 7 2 4" xfId="9637"/>
    <cellStyle name="20% - Accent5 2 7 2_Forecast" xfId="22186"/>
    <cellStyle name="20% - Accent5 2 7 3" xfId="8224"/>
    <cellStyle name="20% - Accent5 2 7 3 2" xfId="9178"/>
    <cellStyle name="20% - Accent5 2 7 3 2 2" xfId="11869"/>
    <cellStyle name="20% - Accent5 2 7 3 2 3" xfId="10556"/>
    <cellStyle name="20% - Accent5 2 7 3 2_Note Calc" xfId="26698"/>
    <cellStyle name="20% - Accent5 2 7 3 3" xfId="11181"/>
    <cellStyle name="20% - Accent5 2 7 3 4" xfId="9868"/>
    <cellStyle name="20% - Accent5 2 7 3_Forecast" xfId="22187"/>
    <cellStyle name="20% - Accent5 2 7 4" xfId="8373"/>
    <cellStyle name="20% - Accent5 2 7 4 2" xfId="9291"/>
    <cellStyle name="20% - Accent5 2 7 4 2 2" xfId="11982"/>
    <cellStyle name="20% - Accent5 2 7 4 2 3" xfId="10669"/>
    <cellStyle name="20% - Accent5 2 7 4 2_Note Calc" xfId="26699"/>
    <cellStyle name="20% - Accent5 2 7 4 3" xfId="11294"/>
    <cellStyle name="20% - Accent5 2 7 4 4" xfId="9981"/>
    <cellStyle name="20% - Accent5 2 7 4_Forecast" xfId="22188"/>
    <cellStyle name="20% - Accent5 2 8" xfId="154"/>
    <cellStyle name="20% - Accent5 2 9" xfId="155"/>
    <cellStyle name="20% - Accent5 2_Forecast" xfId="22189"/>
    <cellStyle name="20% - Accent5 20" xfId="13348"/>
    <cellStyle name="20% - Accent5 200" xfId="13349"/>
    <cellStyle name="20% - Accent5 201" xfId="13350"/>
    <cellStyle name="20% - Accent5 202" xfId="13351"/>
    <cellStyle name="20% - Accent5 203" xfId="13352"/>
    <cellStyle name="20% - Accent5 204" xfId="13353"/>
    <cellStyle name="20% - Accent5 205" xfId="13354"/>
    <cellStyle name="20% - Accent5 206" xfId="13355"/>
    <cellStyle name="20% - Accent5 207" xfId="13356"/>
    <cellStyle name="20% - Accent5 208" xfId="13357"/>
    <cellStyle name="20% - Accent5 209" xfId="13358"/>
    <cellStyle name="20% - Accent5 21" xfId="13359"/>
    <cellStyle name="20% - Accent5 210" xfId="13360"/>
    <cellStyle name="20% - Accent5 211" xfId="13361"/>
    <cellStyle name="20% - Accent5 212" xfId="13362"/>
    <cellStyle name="20% - Accent5 213" xfId="13363"/>
    <cellStyle name="20% - Accent5 214" xfId="13364"/>
    <cellStyle name="20% - Accent5 215" xfId="13365"/>
    <cellStyle name="20% - Accent5 216" xfId="13366"/>
    <cellStyle name="20% - Accent5 217" xfId="13367"/>
    <cellStyle name="20% - Accent5 218" xfId="13368"/>
    <cellStyle name="20% - Accent5 219" xfId="13369"/>
    <cellStyle name="20% - Accent5 22" xfId="13370"/>
    <cellStyle name="20% - Accent5 220" xfId="13371"/>
    <cellStyle name="20% - Accent5 221" xfId="13372"/>
    <cellStyle name="20% - Accent5 222" xfId="13373"/>
    <cellStyle name="20% - Accent5 223" xfId="13374"/>
    <cellStyle name="20% - Accent5 224" xfId="13375"/>
    <cellStyle name="20% - Accent5 225" xfId="13376"/>
    <cellStyle name="20% - Accent5 226" xfId="13377"/>
    <cellStyle name="20% - Accent5 227" xfId="13378"/>
    <cellStyle name="20% - Accent5 228" xfId="13379"/>
    <cellStyle name="20% - Accent5 229" xfId="13380"/>
    <cellStyle name="20% - Accent5 23" xfId="13381"/>
    <cellStyle name="20% - Accent5 230" xfId="13382"/>
    <cellStyle name="20% - Accent5 231" xfId="13383"/>
    <cellStyle name="20% - Accent5 232" xfId="13384"/>
    <cellStyle name="20% - Accent5 233" xfId="13385"/>
    <cellStyle name="20% - Accent5 234" xfId="13386"/>
    <cellStyle name="20% - Accent5 235" xfId="13387"/>
    <cellStyle name="20% - Accent5 236" xfId="13388"/>
    <cellStyle name="20% - Accent5 237" xfId="13389"/>
    <cellStyle name="20% - Accent5 238" xfId="13390"/>
    <cellStyle name="20% - Accent5 239" xfId="13391"/>
    <cellStyle name="20% - Accent5 24" xfId="13392"/>
    <cellStyle name="20% - Accent5 240" xfId="13393"/>
    <cellStyle name="20% - Accent5 241" xfId="13394"/>
    <cellStyle name="20% - Accent5 242" xfId="13395"/>
    <cellStyle name="20% - Accent5 243" xfId="13396"/>
    <cellStyle name="20% - Accent5 244" xfId="13397"/>
    <cellStyle name="20% - Accent5 245" xfId="21363"/>
    <cellStyle name="20% - Accent5 246" xfId="21364"/>
    <cellStyle name="20% - Accent5 247" xfId="21365"/>
    <cellStyle name="20% - Accent5 248" xfId="21366"/>
    <cellStyle name="20% - Accent5 249" xfId="21367"/>
    <cellStyle name="20% - Accent5 25" xfId="13398"/>
    <cellStyle name="20% - Accent5 250" xfId="21368"/>
    <cellStyle name="20% - Accent5 251" xfId="21369"/>
    <cellStyle name="20% - Accent5 252" xfId="21370"/>
    <cellStyle name="20% - Accent5 253" xfId="21371"/>
    <cellStyle name="20% - Accent5 254" xfId="21372"/>
    <cellStyle name="20% - Accent5 255" xfId="21373"/>
    <cellStyle name="20% - Accent5 256" xfId="21374"/>
    <cellStyle name="20% - Accent5 257" xfId="21375"/>
    <cellStyle name="20% - Accent5 258" xfId="21792"/>
    <cellStyle name="20% - Accent5 259" xfId="21793"/>
    <cellStyle name="20% - Accent5 26" xfId="13399"/>
    <cellStyle name="20% - Accent5 260" xfId="21794"/>
    <cellStyle name="20% - Accent5 261" xfId="21795"/>
    <cellStyle name="20% - Accent5 262" xfId="21739"/>
    <cellStyle name="20% - Accent5 263" xfId="21982"/>
    <cellStyle name="20% - Accent5 264" xfId="21888"/>
    <cellStyle name="20% - Accent5 265" xfId="26700"/>
    <cellStyle name="20% - Accent5 27" xfId="13400"/>
    <cellStyle name="20% - Accent5 28" xfId="13401"/>
    <cellStyle name="20% - Accent5 29" xfId="13402"/>
    <cellStyle name="20% - Accent5 3" xfId="7418"/>
    <cellStyle name="20% - Accent5 3 10" xfId="8860"/>
    <cellStyle name="20% - Accent5 3 10 2" xfId="11551"/>
    <cellStyle name="20% - Accent5 3 10 3" xfId="10238"/>
    <cellStyle name="20% - Accent5 3 10_Note Calc" xfId="26701"/>
    <cellStyle name="20% - Accent5 3 11" xfId="10863"/>
    <cellStyle name="20% - Accent5 3 12" xfId="9550"/>
    <cellStyle name="20% - Accent5 3 12 2" xfId="22190"/>
    <cellStyle name="20% - Accent5 3 12_Forecast" xfId="22191"/>
    <cellStyle name="20% - Accent5 3 13" xfId="13403"/>
    <cellStyle name="20% - Accent5 3 14" xfId="22192"/>
    <cellStyle name="20% - Accent5 3 2" xfId="7508"/>
    <cellStyle name="20% - Accent5 3 2 2" xfId="8948"/>
    <cellStyle name="20% - Accent5 3 2 2 2" xfId="11639"/>
    <cellStyle name="20% - Accent5 3 2 2 3" xfId="10326"/>
    <cellStyle name="20% - Accent5 3 2 2_Note Calc" xfId="26702"/>
    <cellStyle name="20% - Accent5 3 2 3" xfId="10951"/>
    <cellStyle name="20% - Accent5 3 2 4" xfId="9638"/>
    <cellStyle name="20% - Accent5 3 2_Forecast" xfId="22193"/>
    <cellStyle name="20% - Accent5 3 3" xfId="7509"/>
    <cellStyle name="20% - Accent5 3 3 2" xfId="8949"/>
    <cellStyle name="20% - Accent5 3 3 2 2" xfId="11640"/>
    <cellStyle name="20% - Accent5 3 3 2 3" xfId="10327"/>
    <cellStyle name="20% - Accent5 3 3 2_Note Calc" xfId="26703"/>
    <cellStyle name="20% - Accent5 3 3 3" xfId="10952"/>
    <cellStyle name="20% - Accent5 3 3 4" xfId="9639"/>
    <cellStyle name="20% - Accent5 3 3_Forecast" xfId="22194"/>
    <cellStyle name="20% - Accent5 3 4" xfId="7510"/>
    <cellStyle name="20% - Accent5 3 4 2" xfId="8950"/>
    <cellStyle name="20% - Accent5 3 4 2 2" xfId="11641"/>
    <cellStyle name="20% - Accent5 3 4 2 3" xfId="10328"/>
    <cellStyle name="20% - Accent5 3 4 2_Note Calc" xfId="26704"/>
    <cellStyle name="20% - Accent5 3 4 3" xfId="10953"/>
    <cellStyle name="20% - Accent5 3 4 4" xfId="9640"/>
    <cellStyle name="20% - Accent5 3 4_Forecast" xfId="22195"/>
    <cellStyle name="20% - Accent5 3 5" xfId="7511"/>
    <cellStyle name="20% - Accent5 3 5 2" xfId="8951"/>
    <cellStyle name="20% - Accent5 3 5 2 2" xfId="11642"/>
    <cellStyle name="20% - Accent5 3 5 2 3" xfId="10329"/>
    <cellStyle name="20% - Accent5 3 5 2_Note Calc" xfId="26705"/>
    <cellStyle name="20% - Accent5 3 5 3" xfId="10954"/>
    <cellStyle name="20% - Accent5 3 5 4" xfId="9641"/>
    <cellStyle name="20% - Accent5 3 5_Forecast" xfId="22196"/>
    <cellStyle name="20% - Accent5 3 6" xfId="7512"/>
    <cellStyle name="20% - Accent5 3 6 2" xfId="8952"/>
    <cellStyle name="20% - Accent5 3 6 2 2" xfId="11643"/>
    <cellStyle name="20% - Accent5 3 6 2 3" xfId="10330"/>
    <cellStyle name="20% - Accent5 3 6 2_Note Calc" xfId="26706"/>
    <cellStyle name="20% - Accent5 3 6 3" xfId="10955"/>
    <cellStyle name="20% - Accent5 3 6 4" xfId="9642"/>
    <cellStyle name="20% - Accent5 3 6_Forecast" xfId="22197"/>
    <cellStyle name="20% - Accent5 3 7" xfId="7513"/>
    <cellStyle name="20% - Accent5 3 7 2" xfId="8953"/>
    <cellStyle name="20% - Accent5 3 7 2 2" xfId="11644"/>
    <cellStyle name="20% - Accent5 3 7 2 3" xfId="10331"/>
    <cellStyle name="20% - Accent5 3 7 2_Note Calc" xfId="26707"/>
    <cellStyle name="20% - Accent5 3 7 3" xfId="10956"/>
    <cellStyle name="20% - Accent5 3 7 4" xfId="9643"/>
    <cellStyle name="20% - Accent5 3 7_Forecast" xfId="22198"/>
    <cellStyle name="20% - Accent5 3 8" xfId="8225"/>
    <cellStyle name="20% - Accent5 3 8 2" xfId="9179"/>
    <cellStyle name="20% - Accent5 3 8 2 2" xfId="11870"/>
    <cellStyle name="20% - Accent5 3 8 2 3" xfId="10557"/>
    <cellStyle name="20% - Accent5 3 8 2_Note Calc" xfId="26708"/>
    <cellStyle name="20% - Accent5 3 8 3" xfId="11182"/>
    <cellStyle name="20% - Accent5 3 8 4" xfId="9869"/>
    <cellStyle name="20% - Accent5 3 8_Forecast" xfId="22199"/>
    <cellStyle name="20% - Accent5 3 9" xfId="8372"/>
    <cellStyle name="20% - Accent5 3 9 2" xfId="9290"/>
    <cellStyle name="20% - Accent5 3 9 2 2" xfId="11981"/>
    <cellStyle name="20% - Accent5 3 9 2 3" xfId="10668"/>
    <cellStyle name="20% - Accent5 3 9 2_Note Calc" xfId="26709"/>
    <cellStyle name="20% - Accent5 3 9 3" xfId="11293"/>
    <cellStyle name="20% - Accent5 3 9 4" xfId="9980"/>
    <cellStyle name="20% - Accent5 3 9_Forecast" xfId="22200"/>
    <cellStyle name="20% - Accent5 3_Forecast" xfId="22201"/>
    <cellStyle name="20% - Accent5 30" xfId="13404"/>
    <cellStyle name="20% - Accent5 31" xfId="13405"/>
    <cellStyle name="20% - Accent5 32" xfId="13406"/>
    <cellStyle name="20% - Accent5 33" xfId="13407"/>
    <cellStyle name="20% - Accent5 34" xfId="13408"/>
    <cellStyle name="20% - Accent5 35" xfId="13409"/>
    <cellStyle name="20% - Accent5 36" xfId="13410"/>
    <cellStyle name="20% - Accent5 37" xfId="13411"/>
    <cellStyle name="20% - Accent5 38" xfId="13412"/>
    <cellStyle name="20% - Accent5 39" xfId="13413"/>
    <cellStyle name="20% - Accent5 4" xfId="7514"/>
    <cellStyle name="20% - Accent5 4 2" xfId="8954"/>
    <cellStyle name="20% - Accent5 4 2 2" xfId="11645"/>
    <cellStyle name="20% - Accent5 4 2 3" xfId="10332"/>
    <cellStyle name="20% - Accent5 4 2_Note Calc" xfId="26710"/>
    <cellStyle name="20% - Accent5 4 3" xfId="10957"/>
    <cellStyle name="20% - Accent5 4 4" xfId="9644"/>
    <cellStyle name="20% - Accent5 4 5" xfId="13414"/>
    <cellStyle name="20% - Accent5 4_Forecast" xfId="22202"/>
    <cellStyle name="20% - Accent5 40" xfId="13415"/>
    <cellStyle name="20% - Accent5 41" xfId="13416"/>
    <cellStyle name="20% - Accent5 42" xfId="13417"/>
    <cellStyle name="20% - Accent5 43" xfId="13418"/>
    <cellStyle name="20% - Accent5 44" xfId="13419"/>
    <cellStyle name="20% - Accent5 45" xfId="13420"/>
    <cellStyle name="20% - Accent5 46" xfId="13421"/>
    <cellStyle name="20% - Accent5 47" xfId="13422"/>
    <cellStyle name="20% - Accent5 48" xfId="13423"/>
    <cellStyle name="20% - Accent5 49" xfId="13424"/>
    <cellStyle name="20% - Accent5 5" xfId="7515"/>
    <cellStyle name="20% - Accent5 5 2" xfId="8955"/>
    <cellStyle name="20% - Accent5 5 2 2" xfId="11646"/>
    <cellStyle name="20% - Accent5 5 2 3" xfId="10333"/>
    <cellStyle name="20% - Accent5 5 2_Note Calc" xfId="26711"/>
    <cellStyle name="20% - Accent5 5 3" xfId="10958"/>
    <cellStyle name="20% - Accent5 5 4" xfId="9645"/>
    <cellStyle name="20% - Accent5 5 5" xfId="13425"/>
    <cellStyle name="20% - Accent5 5_Forecast" xfId="22203"/>
    <cellStyle name="20% - Accent5 50" xfId="13426"/>
    <cellStyle name="20% - Accent5 51" xfId="13427"/>
    <cellStyle name="20% - Accent5 52" xfId="13428"/>
    <cellStyle name="20% - Accent5 53" xfId="13429"/>
    <cellStyle name="20% - Accent5 54" xfId="13430"/>
    <cellStyle name="20% - Accent5 55" xfId="13431"/>
    <cellStyle name="20% - Accent5 56" xfId="13432"/>
    <cellStyle name="20% - Accent5 57" xfId="13433"/>
    <cellStyle name="20% - Accent5 58" xfId="13434"/>
    <cellStyle name="20% - Accent5 59" xfId="13435"/>
    <cellStyle name="20% - Accent5 6" xfId="7516"/>
    <cellStyle name="20% - Accent5 6 2" xfId="8956"/>
    <cellStyle name="20% - Accent5 6 2 2" xfId="11647"/>
    <cellStyle name="20% - Accent5 6 2 3" xfId="10334"/>
    <cellStyle name="20% - Accent5 6 2_Note Calc" xfId="26712"/>
    <cellStyle name="20% - Accent5 6 3" xfId="10959"/>
    <cellStyle name="20% - Accent5 6 4" xfId="9646"/>
    <cellStyle name="20% - Accent5 6 5" xfId="13436"/>
    <cellStyle name="20% - Accent5 6_Forecast" xfId="22204"/>
    <cellStyle name="20% - Accent5 60" xfId="13437"/>
    <cellStyle name="20% - Accent5 61" xfId="13438"/>
    <cellStyle name="20% - Accent5 62" xfId="13439"/>
    <cellStyle name="20% - Accent5 63" xfId="13440"/>
    <cellStyle name="20% - Accent5 64" xfId="13441"/>
    <cellStyle name="20% - Accent5 65" xfId="13442"/>
    <cellStyle name="20% - Accent5 66" xfId="13443"/>
    <cellStyle name="20% - Accent5 67" xfId="13444"/>
    <cellStyle name="20% - Accent5 68" xfId="13445"/>
    <cellStyle name="20% - Accent5 69" xfId="13446"/>
    <cellStyle name="20% - Accent5 7" xfId="7517"/>
    <cellStyle name="20% - Accent5 7 2" xfId="8957"/>
    <cellStyle name="20% - Accent5 7 2 2" xfId="11648"/>
    <cellStyle name="20% - Accent5 7 2 3" xfId="10335"/>
    <cellStyle name="20% - Accent5 7 2_Note Calc" xfId="26713"/>
    <cellStyle name="20% - Accent5 7 3" xfId="10960"/>
    <cellStyle name="20% - Accent5 7 4" xfId="9647"/>
    <cellStyle name="20% - Accent5 7 5" xfId="13447"/>
    <cellStyle name="20% - Accent5 7_Forecast" xfId="22205"/>
    <cellStyle name="20% - Accent5 70" xfId="13448"/>
    <cellStyle name="20% - Accent5 71" xfId="13449"/>
    <cellStyle name="20% - Accent5 72" xfId="13450"/>
    <cellStyle name="20% - Accent5 73" xfId="13451"/>
    <cellStyle name="20% - Accent5 74" xfId="13452"/>
    <cellStyle name="20% - Accent5 75" xfId="13453"/>
    <cellStyle name="20% - Accent5 76" xfId="13454"/>
    <cellStyle name="20% - Accent5 77" xfId="13455"/>
    <cellStyle name="20% - Accent5 78" xfId="13456"/>
    <cellStyle name="20% - Accent5 79" xfId="13457"/>
    <cellStyle name="20% - Accent5 8" xfId="7518"/>
    <cellStyle name="20% - Accent5 8 2" xfId="8958"/>
    <cellStyle name="20% - Accent5 8 2 2" xfId="11649"/>
    <cellStyle name="20% - Accent5 8 2 3" xfId="10336"/>
    <cellStyle name="20% - Accent5 8 2_Note Calc" xfId="26714"/>
    <cellStyle name="20% - Accent5 8 3" xfId="10961"/>
    <cellStyle name="20% - Accent5 8 4" xfId="9648"/>
    <cellStyle name="20% - Accent5 8 5" xfId="13458"/>
    <cellStyle name="20% - Accent5 8_Forecast" xfId="22206"/>
    <cellStyle name="20% - Accent5 80" xfId="13459"/>
    <cellStyle name="20% - Accent5 81" xfId="13460"/>
    <cellStyle name="20% - Accent5 82" xfId="13461"/>
    <cellStyle name="20% - Accent5 83" xfId="13462"/>
    <cellStyle name="20% - Accent5 84" xfId="13463"/>
    <cellStyle name="20% - Accent5 85" xfId="13464"/>
    <cellStyle name="20% - Accent5 86" xfId="13465"/>
    <cellStyle name="20% - Accent5 87" xfId="13466"/>
    <cellStyle name="20% - Accent5 88" xfId="13467"/>
    <cellStyle name="20% - Accent5 89" xfId="13468"/>
    <cellStyle name="20% - Accent5 9" xfId="7519"/>
    <cellStyle name="20% - Accent5 9 2" xfId="8959"/>
    <cellStyle name="20% - Accent5 9 2 2" xfId="11650"/>
    <cellStyle name="20% - Accent5 9 2 3" xfId="10337"/>
    <cellStyle name="20% - Accent5 9 2_Note Calc" xfId="26715"/>
    <cellStyle name="20% - Accent5 9 3" xfId="10962"/>
    <cellStyle name="20% - Accent5 9 4" xfId="9649"/>
    <cellStyle name="20% - Accent5 9 5" xfId="13469"/>
    <cellStyle name="20% - Accent5 9_Forecast" xfId="22207"/>
    <cellStyle name="20% - Accent5 90" xfId="13470"/>
    <cellStyle name="20% - Accent5 91" xfId="13471"/>
    <cellStyle name="20% - Accent5 92" xfId="13472"/>
    <cellStyle name="20% - Accent5 93" xfId="13473"/>
    <cellStyle name="20% - Accent5 94" xfId="13474"/>
    <cellStyle name="20% - Accent5 95" xfId="13475"/>
    <cellStyle name="20% - Accent5 96" xfId="13476"/>
    <cellStyle name="20% - Accent5 97" xfId="13477"/>
    <cellStyle name="20% - Accent5 98" xfId="13478"/>
    <cellStyle name="20% - Accent5 99" xfId="13479"/>
    <cellStyle name="20% - Accent6" xfId="156" builtinId="50" customBuiltin="1"/>
    <cellStyle name="20% - Accent6 10" xfId="8781"/>
    <cellStyle name="20% - Accent6 10 2" xfId="11473"/>
    <cellStyle name="20% - Accent6 10 3" xfId="10160"/>
    <cellStyle name="20% - Accent6 10 4" xfId="13480"/>
    <cellStyle name="20% - Accent6 10_Note Calc" xfId="26716"/>
    <cellStyle name="20% - Accent6 100" xfId="13481"/>
    <cellStyle name="20% - Accent6 101" xfId="13482"/>
    <cellStyle name="20% - Accent6 102" xfId="13483"/>
    <cellStyle name="20% - Accent6 103" xfId="13484"/>
    <cellStyle name="20% - Accent6 104" xfId="13485"/>
    <cellStyle name="20% - Accent6 105" xfId="13486"/>
    <cellStyle name="20% - Accent6 106" xfId="13487"/>
    <cellStyle name="20% - Accent6 107" xfId="13488"/>
    <cellStyle name="20% - Accent6 108" xfId="13489"/>
    <cellStyle name="20% - Accent6 109" xfId="13490"/>
    <cellStyle name="20% - Accent6 11" xfId="10785"/>
    <cellStyle name="20% - Accent6 11 2" xfId="13491"/>
    <cellStyle name="20% - Accent6 11_Forecast" xfId="22208"/>
    <cellStyle name="20% - Accent6 110" xfId="13492"/>
    <cellStyle name="20% - Accent6 111" xfId="13493"/>
    <cellStyle name="20% - Accent6 112" xfId="13494"/>
    <cellStyle name="20% - Accent6 113" xfId="13495"/>
    <cellStyle name="20% - Accent6 114" xfId="13496"/>
    <cellStyle name="20% - Accent6 115" xfId="13497"/>
    <cellStyle name="20% - Accent6 116" xfId="13498"/>
    <cellStyle name="20% - Accent6 117" xfId="13499"/>
    <cellStyle name="20% - Accent6 118" xfId="13500"/>
    <cellStyle name="20% - Accent6 119" xfId="13501"/>
    <cellStyle name="20% - Accent6 12" xfId="9472"/>
    <cellStyle name="20% - Accent6 12 2" xfId="13502"/>
    <cellStyle name="20% - Accent6 12_Forecast" xfId="22209"/>
    <cellStyle name="20% - Accent6 120" xfId="13503"/>
    <cellStyle name="20% - Accent6 121" xfId="13504"/>
    <cellStyle name="20% - Accent6 122" xfId="13505"/>
    <cellStyle name="20% - Accent6 123" xfId="13506"/>
    <cellStyle name="20% - Accent6 124" xfId="13507"/>
    <cellStyle name="20% - Accent6 125" xfId="13508"/>
    <cellStyle name="20% - Accent6 126" xfId="13509"/>
    <cellStyle name="20% - Accent6 127" xfId="13510"/>
    <cellStyle name="20% - Accent6 128" xfId="13511"/>
    <cellStyle name="20% - Accent6 129" xfId="13512"/>
    <cellStyle name="20% - Accent6 13" xfId="12255"/>
    <cellStyle name="20% - Accent6 13 2" xfId="13513"/>
    <cellStyle name="20% - Accent6 13_Note Calc" xfId="26717"/>
    <cellStyle name="20% - Accent6 130" xfId="13514"/>
    <cellStyle name="20% - Accent6 131" xfId="13515"/>
    <cellStyle name="20% - Accent6 132" xfId="13516"/>
    <cellStyle name="20% - Accent6 133" xfId="13517"/>
    <cellStyle name="20% - Accent6 134" xfId="13518"/>
    <cellStyle name="20% - Accent6 135" xfId="13519"/>
    <cellStyle name="20% - Accent6 136" xfId="13520"/>
    <cellStyle name="20% - Accent6 137" xfId="13521"/>
    <cellStyle name="20% - Accent6 138" xfId="13522"/>
    <cellStyle name="20% - Accent6 139" xfId="13523"/>
    <cellStyle name="20% - Accent6 14" xfId="13524"/>
    <cellStyle name="20% - Accent6 140" xfId="13525"/>
    <cellStyle name="20% - Accent6 141" xfId="13526"/>
    <cellStyle name="20% - Accent6 142" xfId="13527"/>
    <cellStyle name="20% - Accent6 143" xfId="13528"/>
    <cellStyle name="20% - Accent6 144" xfId="13529"/>
    <cellStyle name="20% - Accent6 145" xfId="13530"/>
    <cellStyle name="20% - Accent6 146" xfId="13531"/>
    <cellStyle name="20% - Accent6 147" xfId="13532"/>
    <cellStyle name="20% - Accent6 148" xfId="13533"/>
    <cellStyle name="20% - Accent6 149" xfId="13534"/>
    <cellStyle name="20% - Accent6 15" xfId="13535"/>
    <cellStyle name="20% - Accent6 150" xfId="13536"/>
    <cellStyle name="20% - Accent6 151" xfId="13537"/>
    <cellStyle name="20% - Accent6 152" xfId="13538"/>
    <cellStyle name="20% - Accent6 153" xfId="13539"/>
    <cellStyle name="20% - Accent6 154" xfId="13540"/>
    <cellStyle name="20% - Accent6 155" xfId="13541"/>
    <cellStyle name="20% - Accent6 156" xfId="13542"/>
    <cellStyle name="20% - Accent6 157" xfId="13543"/>
    <cellStyle name="20% - Accent6 158" xfId="13544"/>
    <cellStyle name="20% - Accent6 159" xfId="13545"/>
    <cellStyle name="20% - Accent6 16" xfId="13546"/>
    <cellStyle name="20% - Accent6 160" xfId="13547"/>
    <cellStyle name="20% - Accent6 161" xfId="13548"/>
    <cellStyle name="20% - Accent6 162" xfId="13549"/>
    <cellStyle name="20% - Accent6 163" xfId="13550"/>
    <cellStyle name="20% - Accent6 163 2" xfId="21376"/>
    <cellStyle name="20% - Accent6 163 3" xfId="21377"/>
    <cellStyle name="20% - Accent6 163_Note Calc" xfId="26718"/>
    <cellStyle name="20% - Accent6 164" xfId="13551"/>
    <cellStyle name="20% - Accent6 165" xfId="13552"/>
    <cellStyle name="20% - Accent6 166" xfId="13553"/>
    <cellStyle name="20% - Accent6 167" xfId="13554"/>
    <cellStyle name="20% - Accent6 168" xfId="13555"/>
    <cellStyle name="20% - Accent6 169" xfId="13556"/>
    <cellStyle name="20% - Accent6 17" xfId="13557"/>
    <cellStyle name="20% - Accent6 170" xfId="13558"/>
    <cellStyle name="20% - Accent6 171" xfId="13559"/>
    <cellStyle name="20% - Accent6 172" xfId="13560"/>
    <cellStyle name="20% - Accent6 173" xfId="13561"/>
    <cellStyle name="20% - Accent6 174" xfId="13562"/>
    <cellStyle name="20% - Accent6 175" xfId="13563"/>
    <cellStyle name="20% - Accent6 176" xfId="13564"/>
    <cellStyle name="20% - Accent6 177" xfId="13565"/>
    <cellStyle name="20% - Accent6 178" xfId="13566"/>
    <cellStyle name="20% - Accent6 179" xfId="13567"/>
    <cellStyle name="20% - Accent6 18" xfId="13568"/>
    <cellStyle name="20% - Accent6 180" xfId="13569"/>
    <cellStyle name="20% - Accent6 181" xfId="13570"/>
    <cellStyle name="20% - Accent6 182" xfId="13571"/>
    <cellStyle name="20% - Accent6 183" xfId="13572"/>
    <cellStyle name="20% - Accent6 184" xfId="13573"/>
    <cellStyle name="20% - Accent6 185" xfId="13574"/>
    <cellStyle name="20% - Accent6 186" xfId="13575"/>
    <cellStyle name="20% - Accent6 187" xfId="13576"/>
    <cellStyle name="20% - Accent6 188" xfId="13577"/>
    <cellStyle name="20% - Accent6 189" xfId="13578"/>
    <cellStyle name="20% - Accent6 19" xfId="13579"/>
    <cellStyle name="20% - Accent6 190" xfId="13580"/>
    <cellStyle name="20% - Accent6 191" xfId="13581"/>
    <cellStyle name="20% - Accent6 192" xfId="13582"/>
    <cellStyle name="20% - Accent6 193" xfId="13583"/>
    <cellStyle name="20% - Accent6 194" xfId="13584"/>
    <cellStyle name="20% - Accent6 195" xfId="13585"/>
    <cellStyle name="20% - Accent6 196" xfId="13586"/>
    <cellStyle name="20% - Accent6 197" xfId="13587"/>
    <cellStyle name="20% - Accent6 198" xfId="13588"/>
    <cellStyle name="20% - Accent6 199" xfId="13589"/>
    <cellStyle name="20% - Accent6 2" xfId="157"/>
    <cellStyle name="20% - Accent6 2 10" xfId="158"/>
    <cellStyle name="20% - Accent6 2 11" xfId="159"/>
    <cellStyle name="20% - Accent6 2 12" xfId="160"/>
    <cellStyle name="20% - Accent6 2 13" xfId="161"/>
    <cellStyle name="20% - Accent6 2 14" xfId="162"/>
    <cellStyle name="20% - Accent6 2 15" xfId="163"/>
    <cellStyle name="20% - Accent6 2 16" xfId="164"/>
    <cellStyle name="20% - Accent6 2 17" xfId="165"/>
    <cellStyle name="20% - Accent6 2 18" xfId="166"/>
    <cellStyle name="20% - Accent6 2 19" xfId="167"/>
    <cellStyle name="20% - Accent6 2 2" xfId="168"/>
    <cellStyle name="20% - Accent6 2 2 2" xfId="7521"/>
    <cellStyle name="20% - Accent6 2 2 2 2" xfId="8961"/>
    <cellStyle name="20% - Accent6 2 2 2 2 2" xfId="11652"/>
    <cellStyle name="20% - Accent6 2 2 2 2 3" xfId="10339"/>
    <cellStyle name="20% - Accent6 2 2 2 2_Note Calc" xfId="26719"/>
    <cellStyle name="20% - Accent6 2 2 2 3" xfId="10964"/>
    <cellStyle name="20% - Accent6 2 2 2 4" xfId="9651"/>
    <cellStyle name="20% - Accent6 2 2 2_Forecast" xfId="22210"/>
    <cellStyle name="20% - Accent6 2 2 3" xfId="8228"/>
    <cellStyle name="20% - Accent6 2 2 3 2" xfId="9181"/>
    <cellStyle name="20% - Accent6 2 2 3 2 2" xfId="11872"/>
    <cellStyle name="20% - Accent6 2 2 3 2 3" xfId="10559"/>
    <cellStyle name="20% - Accent6 2 2 3 2_Note Calc" xfId="26720"/>
    <cellStyle name="20% - Accent6 2 2 3 3" xfId="11184"/>
    <cellStyle name="20% - Accent6 2 2 3 4" xfId="9871"/>
    <cellStyle name="20% - Accent6 2 2 3_Forecast" xfId="22211"/>
    <cellStyle name="20% - Accent6 2 2 4" xfId="8369"/>
    <cellStyle name="20% - Accent6 2 2 4 2" xfId="9288"/>
    <cellStyle name="20% - Accent6 2 2 4 2 2" xfId="11979"/>
    <cellStyle name="20% - Accent6 2 2 4 2 3" xfId="10666"/>
    <cellStyle name="20% - Accent6 2 2 4 2_Note Calc" xfId="26721"/>
    <cellStyle name="20% - Accent6 2 2 4 3" xfId="11291"/>
    <cellStyle name="20% - Accent6 2 2 4 4" xfId="9978"/>
    <cellStyle name="20% - Accent6 2 2 4_Forecast" xfId="22212"/>
    <cellStyle name="20% - Accent6 2 2 5" xfId="21378"/>
    <cellStyle name="20% - Accent6 2 2_SFPR" xfId="21874"/>
    <cellStyle name="20% - Accent6 2 20" xfId="169"/>
    <cellStyle name="20% - Accent6 2 21" xfId="170"/>
    <cellStyle name="20% - Accent6 2 22" xfId="171"/>
    <cellStyle name="20% - Accent6 2 23" xfId="172"/>
    <cellStyle name="20% - Accent6 2 24" xfId="173"/>
    <cellStyle name="20% - Accent6 2 25" xfId="174"/>
    <cellStyle name="20% - Accent6 2 26" xfId="175"/>
    <cellStyle name="20% - Accent6 2 27" xfId="176"/>
    <cellStyle name="20% - Accent6 2 28" xfId="177"/>
    <cellStyle name="20% - Accent6 2 29" xfId="178"/>
    <cellStyle name="20% - Accent6 2 3" xfId="179"/>
    <cellStyle name="20% - Accent6 2 3 2" xfId="7522"/>
    <cellStyle name="20% - Accent6 2 3 2 2" xfId="8962"/>
    <cellStyle name="20% - Accent6 2 3 2 2 2" xfId="11653"/>
    <cellStyle name="20% - Accent6 2 3 2 2 3" xfId="10340"/>
    <cellStyle name="20% - Accent6 2 3 2 2_Note Calc" xfId="26722"/>
    <cellStyle name="20% - Accent6 2 3 2 3" xfId="10965"/>
    <cellStyle name="20% - Accent6 2 3 2 4" xfId="9652"/>
    <cellStyle name="20% - Accent6 2 3 2_Forecast" xfId="22213"/>
    <cellStyle name="20% - Accent6 2 3 3" xfId="8229"/>
    <cellStyle name="20% - Accent6 2 3 3 2" xfId="9182"/>
    <cellStyle name="20% - Accent6 2 3 3 2 2" xfId="11873"/>
    <cellStyle name="20% - Accent6 2 3 3 2 3" xfId="10560"/>
    <cellStyle name="20% - Accent6 2 3 3 2_Note Calc" xfId="26723"/>
    <cellStyle name="20% - Accent6 2 3 3 3" xfId="11185"/>
    <cellStyle name="20% - Accent6 2 3 3 4" xfId="9872"/>
    <cellStyle name="20% - Accent6 2 3 3_Forecast" xfId="22214"/>
    <cellStyle name="20% - Accent6 2 3 4" xfId="8368"/>
    <cellStyle name="20% - Accent6 2 3 4 2" xfId="9287"/>
    <cellStyle name="20% - Accent6 2 3 4 2 2" xfId="11978"/>
    <cellStyle name="20% - Accent6 2 3 4 2 3" xfId="10665"/>
    <cellStyle name="20% - Accent6 2 3 4 2_Note Calc" xfId="26724"/>
    <cellStyle name="20% - Accent6 2 3 4 3" xfId="11290"/>
    <cellStyle name="20% - Accent6 2 3 4 4" xfId="9977"/>
    <cellStyle name="20% - Accent6 2 3 4_Forecast" xfId="22215"/>
    <cellStyle name="20% - Accent6 2 3 5" xfId="21379"/>
    <cellStyle name="20% - Accent6 2 3_SFPR" xfId="21875"/>
    <cellStyle name="20% - Accent6 2 30" xfId="180"/>
    <cellStyle name="20% - Accent6 2 31" xfId="7520"/>
    <cellStyle name="20% - Accent6 2 31 2" xfId="8960"/>
    <cellStyle name="20% - Accent6 2 31 2 2" xfId="11651"/>
    <cellStyle name="20% - Accent6 2 31 2 3" xfId="10338"/>
    <cellStyle name="20% - Accent6 2 31 2_Note Calc" xfId="26725"/>
    <cellStyle name="20% - Accent6 2 31 3" xfId="10963"/>
    <cellStyle name="20% - Accent6 2 31 4" xfId="9650"/>
    <cellStyle name="20% - Accent6 2 31_Forecast" xfId="22216"/>
    <cellStyle name="20% - Accent6 2 32" xfId="8227"/>
    <cellStyle name="20% - Accent6 2 32 2" xfId="9180"/>
    <cellStyle name="20% - Accent6 2 32 2 2" xfId="11871"/>
    <cellStyle name="20% - Accent6 2 32 2 3" xfId="10558"/>
    <cellStyle name="20% - Accent6 2 32 2_Note Calc" xfId="26726"/>
    <cellStyle name="20% - Accent6 2 32 3" xfId="11183"/>
    <cellStyle name="20% - Accent6 2 32 4" xfId="9870"/>
    <cellStyle name="20% - Accent6 2 32_Forecast" xfId="22217"/>
    <cellStyle name="20% - Accent6 2 33" xfId="8370"/>
    <cellStyle name="20% - Accent6 2 33 2" xfId="9289"/>
    <cellStyle name="20% - Accent6 2 33 2 2" xfId="11980"/>
    <cellStyle name="20% - Accent6 2 33 2 3" xfId="10667"/>
    <cellStyle name="20% - Accent6 2 33 2_Note Calc" xfId="26727"/>
    <cellStyle name="20% - Accent6 2 33 3" xfId="11292"/>
    <cellStyle name="20% - Accent6 2 33 4" xfId="9979"/>
    <cellStyle name="20% - Accent6 2 33_Forecast" xfId="22218"/>
    <cellStyle name="20% - Accent6 2 34" xfId="12104"/>
    <cellStyle name="20% - Accent6 2 35" xfId="13590"/>
    <cellStyle name="20% - Accent6 2 36" xfId="26728"/>
    <cellStyle name="20% - Accent6 2 4" xfId="181"/>
    <cellStyle name="20% - Accent6 2 4 2" xfId="7523"/>
    <cellStyle name="20% - Accent6 2 4 2 2" xfId="8963"/>
    <cellStyle name="20% - Accent6 2 4 2 2 2" xfId="11654"/>
    <cellStyle name="20% - Accent6 2 4 2 2 3" xfId="10341"/>
    <cellStyle name="20% - Accent6 2 4 2 2_Note Calc" xfId="26729"/>
    <cellStyle name="20% - Accent6 2 4 2 3" xfId="10966"/>
    <cellStyle name="20% - Accent6 2 4 2 4" xfId="9653"/>
    <cellStyle name="20% - Accent6 2 4 2_Forecast" xfId="22219"/>
    <cellStyle name="20% - Accent6 2 4 3" xfId="8230"/>
    <cellStyle name="20% - Accent6 2 4 3 2" xfId="9183"/>
    <cellStyle name="20% - Accent6 2 4 3 2 2" xfId="11874"/>
    <cellStyle name="20% - Accent6 2 4 3 2 3" xfId="10561"/>
    <cellStyle name="20% - Accent6 2 4 3 2_Note Calc" xfId="26730"/>
    <cellStyle name="20% - Accent6 2 4 3 3" xfId="11186"/>
    <cellStyle name="20% - Accent6 2 4 3 4" xfId="9873"/>
    <cellStyle name="20% - Accent6 2 4 3_Forecast" xfId="22220"/>
    <cellStyle name="20% - Accent6 2 4 4" xfId="8367"/>
    <cellStyle name="20% - Accent6 2 4 4 2" xfId="9286"/>
    <cellStyle name="20% - Accent6 2 4 4 2 2" xfId="11977"/>
    <cellStyle name="20% - Accent6 2 4 4 2 3" xfId="10664"/>
    <cellStyle name="20% - Accent6 2 4 4 2_Note Calc" xfId="26731"/>
    <cellStyle name="20% - Accent6 2 4 4 3" xfId="11289"/>
    <cellStyle name="20% - Accent6 2 4 4 4" xfId="9976"/>
    <cellStyle name="20% - Accent6 2 4 4_Forecast" xfId="22221"/>
    <cellStyle name="20% - Accent6 2 4 5" xfId="21380"/>
    <cellStyle name="20% - Accent6 2 4_SFPR" xfId="21876"/>
    <cellStyle name="20% - Accent6 2 5" xfId="182"/>
    <cellStyle name="20% - Accent6 2 5 2" xfId="7524"/>
    <cellStyle name="20% - Accent6 2 5 2 2" xfId="8964"/>
    <cellStyle name="20% - Accent6 2 5 2 2 2" xfId="11655"/>
    <cellStyle name="20% - Accent6 2 5 2 2 3" xfId="10342"/>
    <cellStyle name="20% - Accent6 2 5 2 2_Note Calc" xfId="26732"/>
    <cellStyle name="20% - Accent6 2 5 2 3" xfId="10967"/>
    <cellStyle name="20% - Accent6 2 5 2 4" xfId="9654"/>
    <cellStyle name="20% - Accent6 2 5 2_Forecast" xfId="22222"/>
    <cellStyle name="20% - Accent6 2 5 3" xfId="8231"/>
    <cellStyle name="20% - Accent6 2 5 3 2" xfId="9184"/>
    <cellStyle name="20% - Accent6 2 5 3 2 2" xfId="11875"/>
    <cellStyle name="20% - Accent6 2 5 3 2 3" xfId="10562"/>
    <cellStyle name="20% - Accent6 2 5 3 2_Note Calc" xfId="26733"/>
    <cellStyle name="20% - Accent6 2 5 3 3" xfId="11187"/>
    <cellStyle name="20% - Accent6 2 5 3 4" xfId="9874"/>
    <cellStyle name="20% - Accent6 2 5 3_Forecast" xfId="22223"/>
    <cellStyle name="20% - Accent6 2 5 4" xfId="8366"/>
    <cellStyle name="20% - Accent6 2 5 4 2" xfId="9285"/>
    <cellStyle name="20% - Accent6 2 5 4 2 2" xfId="11976"/>
    <cellStyle name="20% - Accent6 2 5 4 2 3" xfId="10663"/>
    <cellStyle name="20% - Accent6 2 5 4 2_Note Calc" xfId="26734"/>
    <cellStyle name="20% - Accent6 2 5 4 3" xfId="11288"/>
    <cellStyle name="20% - Accent6 2 5 4 4" xfId="9975"/>
    <cellStyle name="20% - Accent6 2 5 4_Forecast" xfId="22224"/>
    <cellStyle name="20% - Accent6 2 6" xfId="183"/>
    <cellStyle name="20% - Accent6 2 6 2" xfId="7525"/>
    <cellStyle name="20% - Accent6 2 6 2 2" xfId="8965"/>
    <cellStyle name="20% - Accent6 2 6 2 2 2" xfId="11656"/>
    <cellStyle name="20% - Accent6 2 6 2 2 3" xfId="10343"/>
    <cellStyle name="20% - Accent6 2 6 2 2_Note Calc" xfId="26735"/>
    <cellStyle name="20% - Accent6 2 6 2 3" xfId="10968"/>
    <cellStyle name="20% - Accent6 2 6 2 4" xfId="9655"/>
    <cellStyle name="20% - Accent6 2 6 2_Forecast" xfId="22225"/>
    <cellStyle name="20% - Accent6 2 6 3" xfId="8232"/>
    <cellStyle name="20% - Accent6 2 6 3 2" xfId="9185"/>
    <cellStyle name="20% - Accent6 2 6 3 2 2" xfId="11876"/>
    <cellStyle name="20% - Accent6 2 6 3 2 3" xfId="10563"/>
    <cellStyle name="20% - Accent6 2 6 3 2_Note Calc" xfId="26736"/>
    <cellStyle name="20% - Accent6 2 6 3 3" xfId="11188"/>
    <cellStyle name="20% - Accent6 2 6 3 4" xfId="9875"/>
    <cellStyle name="20% - Accent6 2 6 3_Forecast" xfId="22226"/>
    <cellStyle name="20% - Accent6 2 6 4" xfId="8365"/>
    <cellStyle name="20% - Accent6 2 6 4 2" xfId="9284"/>
    <cellStyle name="20% - Accent6 2 6 4 2 2" xfId="11975"/>
    <cellStyle name="20% - Accent6 2 6 4 2 3" xfId="10662"/>
    <cellStyle name="20% - Accent6 2 6 4 2_Note Calc" xfId="26737"/>
    <cellStyle name="20% - Accent6 2 6 4 3" xfId="11287"/>
    <cellStyle name="20% - Accent6 2 6 4 4" xfId="9974"/>
    <cellStyle name="20% - Accent6 2 6 4_Forecast" xfId="22227"/>
    <cellStyle name="20% - Accent6 2 7" xfId="184"/>
    <cellStyle name="20% - Accent6 2 7 2" xfId="7526"/>
    <cellStyle name="20% - Accent6 2 7 2 2" xfId="8966"/>
    <cellStyle name="20% - Accent6 2 7 2 2 2" xfId="11657"/>
    <cellStyle name="20% - Accent6 2 7 2 2 3" xfId="10344"/>
    <cellStyle name="20% - Accent6 2 7 2 2_Note Calc" xfId="26738"/>
    <cellStyle name="20% - Accent6 2 7 2 3" xfId="10969"/>
    <cellStyle name="20% - Accent6 2 7 2 4" xfId="9656"/>
    <cellStyle name="20% - Accent6 2 7 2_Forecast" xfId="22228"/>
    <cellStyle name="20% - Accent6 2 7 3" xfId="8233"/>
    <cellStyle name="20% - Accent6 2 7 3 2" xfId="9186"/>
    <cellStyle name="20% - Accent6 2 7 3 2 2" xfId="11877"/>
    <cellStyle name="20% - Accent6 2 7 3 2 3" xfId="10564"/>
    <cellStyle name="20% - Accent6 2 7 3 2_Note Calc" xfId="26739"/>
    <cellStyle name="20% - Accent6 2 7 3 3" xfId="11189"/>
    <cellStyle name="20% - Accent6 2 7 3 4" xfId="9876"/>
    <cellStyle name="20% - Accent6 2 7 3_Forecast" xfId="22229"/>
    <cellStyle name="20% - Accent6 2 7 4" xfId="8364"/>
    <cellStyle name="20% - Accent6 2 7 4 2" xfId="9283"/>
    <cellStyle name="20% - Accent6 2 7 4 2 2" xfId="11974"/>
    <cellStyle name="20% - Accent6 2 7 4 2 3" xfId="10661"/>
    <cellStyle name="20% - Accent6 2 7 4 2_Note Calc" xfId="26740"/>
    <cellStyle name="20% - Accent6 2 7 4 3" xfId="11286"/>
    <cellStyle name="20% - Accent6 2 7 4 4" xfId="9973"/>
    <cellStyle name="20% - Accent6 2 7 4_Forecast" xfId="22230"/>
    <cellStyle name="20% - Accent6 2 8" xfId="185"/>
    <cellStyle name="20% - Accent6 2 9" xfId="186"/>
    <cellStyle name="20% - Accent6 2_Forecast" xfId="22231"/>
    <cellStyle name="20% - Accent6 20" xfId="13591"/>
    <cellStyle name="20% - Accent6 200" xfId="13592"/>
    <cellStyle name="20% - Accent6 201" xfId="13593"/>
    <cellStyle name="20% - Accent6 202" xfId="13594"/>
    <cellStyle name="20% - Accent6 203" xfId="13595"/>
    <cellStyle name="20% - Accent6 204" xfId="13596"/>
    <cellStyle name="20% - Accent6 205" xfId="13597"/>
    <cellStyle name="20% - Accent6 206" xfId="13598"/>
    <cellStyle name="20% - Accent6 207" xfId="13599"/>
    <cellStyle name="20% - Accent6 208" xfId="13600"/>
    <cellStyle name="20% - Accent6 209" xfId="13601"/>
    <cellStyle name="20% - Accent6 21" xfId="13602"/>
    <cellStyle name="20% - Accent6 210" xfId="13603"/>
    <cellStyle name="20% - Accent6 211" xfId="13604"/>
    <cellStyle name="20% - Accent6 212" xfId="13605"/>
    <cellStyle name="20% - Accent6 213" xfId="13606"/>
    <cellStyle name="20% - Accent6 214" xfId="13607"/>
    <cellStyle name="20% - Accent6 215" xfId="13608"/>
    <cellStyle name="20% - Accent6 216" xfId="13609"/>
    <cellStyle name="20% - Accent6 217" xfId="13610"/>
    <cellStyle name="20% - Accent6 218" xfId="13611"/>
    <cellStyle name="20% - Accent6 219" xfId="13612"/>
    <cellStyle name="20% - Accent6 22" xfId="13613"/>
    <cellStyle name="20% - Accent6 220" xfId="13614"/>
    <cellStyle name="20% - Accent6 221" xfId="13615"/>
    <cellStyle name="20% - Accent6 222" xfId="13616"/>
    <cellStyle name="20% - Accent6 223" xfId="13617"/>
    <cellStyle name="20% - Accent6 224" xfId="13618"/>
    <cellStyle name="20% - Accent6 225" xfId="13619"/>
    <cellStyle name="20% - Accent6 226" xfId="13620"/>
    <cellStyle name="20% - Accent6 227" xfId="13621"/>
    <cellStyle name="20% - Accent6 228" xfId="13622"/>
    <cellStyle name="20% - Accent6 229" xfId="13623"/>
    <cellStyle name="20% - Accent6 23" xfId="13624"/>
    <cellStyle name="20% - Accent6 230" xfId="13625"/>
    <cellStyle name="20% - Accent6 231" xfId="13626"/>
    <cellStyle name="20% - Accent6 232" xfId="13627"/>
    <cellStyle name="20% - Accent6 233" xfId="13628"/>
    <cellStyle name="20% - Accent6 234" xfId="13629"/>
    <cellStyle name="20% - Accent6 235" xfId="13630"/>
    <cellStyle name="20% - Accent6 236" xfId="13631"/>
    <cellStyle name="20% - Accent6 237" xfId="13632"/>
    <cellStyle name="20% - Accent6 238" xfId="13633"/>
    <cellStyle name="20% - Accent6 239" xfId="13634"/>
    <cellStyle name="20% - Accent6 24" xfId="13635"/>
    <cellStyle name="20% - Accent6 240" xfId="13636"/>
    <cellStyle name="20% - Accent6 241" xfId="13637"/>
    <cellStyle name="20% - Accent6 242" xfId="13638"/>
    <cellStyle name="20% - Accent6 243" xfId="13639"/>
    <cellStyle name="20% - Accent6 244" xfId="13640"/>
    <cellStyle name="20% - Accent6 245" xfId="21381"/>
    <cellStyle name="20% - Accent6 246" xfId="21382"/>
    <cellStyle name="20% - Accent6 247" xfId="21383"/>
    <cellStyle name="20% - Accent6 248" xfId="21384"/>
    <cellStyle name="20% - Accent6 249" xfId="21385"/>
    <cellStyle name="20% - Accent6 25" xfId="13641"/>
    <cellStyle name="20% - Accent6 250" xfId="21386"/>
    <cellStyle name="20% - Accent6 251" xfId="21387"/>
    <cellStyle name="20% - Accent6 252" xfId="21388"/>
    <cellStyle name="20% - Accent6 253" xfId="21389"/>
    <cellStyle name="20% - Accent6 254" xfId="21390"/>
    <cellStyle name="20% - Accent6 255" xfId="21391"/>
    <cellStyle name="20% - Accent6 256" xfId="21392"/>
    <cellStyle name="20% - Accent6 257" xfId="21393"/>
    <cellStyle name="20% - Accent6 258" xfId="21796"/>
    <cellStyle name="20% - Accent6 259" xfId="21797"/>
    <cellStyle name="20% - Accent6 26" xfId="13642"/>
    <cellStyle name="20% - Accent6 260" xfId="21798"/>
    <cellStyle name="20% - Accent6 261" xfId="21799"/>
    <cellStyle name="20% - Accent6 262" xfId="21743"/>
    <cellStyle name="20% - Accent6 263" xfId="21986"/>
    <cellStyle name="20% - Accent6 264" xfId="21884"/>
    <cellStyle name="20% - Accent6 265" xfId="26741"/>
    <cellStyle name="20% - Accent6 27" xfId="13643"/>
    <cellStyle name="20% - Accent6 28" xfId="13644"/>
    <cellStyle name="20% - Accent6 29" xfId="13645"/>
    <cellStyle name="20% - Accent6 3" xfId="7420"/>
    <cellStyle name="20% - Accent6 3 10" xfId="8862"/>
    <cellStyle name="20% - Accent6 3 10 2" xfId="11553"/>
    <cellStyle name="20% - Accent6 3 10 3" xfId="10240"/>
    <cellStyle name="20% - Accent6 3 10_Note Calc" xfId="26742"/>
    <cellStyle name="20% - Accent6 3 11" xfId="10865"/>
    <cellStyle name="20% - Accent6 3 12" xfId="9552"/>
    <cellStyle name="20% - Accent6 3 12 2" xfId="22232"/>
    <cellStyle name="20% - Accent6 3 12_Forecast" xfId="22233"/>
    <cellStyle name="20% - Accent6 3 13" xfId="13646"/>
    <cellStyle name="20% - Accent6 3 14" xfId="22234"/>
    <cellStyle name="20% - Accent6 3 2" xfId="7527"/>
    <cellStyle name="20% - Accent6 3 2 2" xfId="8967"/>
    <cellStyle name="20% - Accent6 3 2 2 2" xfId="11658"/>
    <cellStyle name="20% - Accent6 3 2 2 3" xfId="10345"/>
    <cellStyle name="20% - Accent6 3 2 2_Note Calc" xfId="26743"/>
    <cellStyle name="20% - Accent6 3 2 3" xfId="10970"/>
    <cellStyle name="20% - Accent6 3 2 4" xfId="9657"/>
    <cellStyle name="20% - Accent6 3 2_Forecast" xfId="22235"/>
    <cellStyle name="20% - Accent6 3 3" xfId="7528"/>
    <cellStyle name="20% - Accent6 3 3 2" xfId="8968"/>
    <cellStyle name="20% - Accent6 3 3 2 2" xfId="11659"/>
    <cellStyle name="20% - Accent6 3 3 2 3" xfId="10346"/>
    <cellStyle name="20% - Accent6 3 3 2_Note Calc" xfId="26744"/>
    <cellStyle name="20% - Accent6 3 3 3" xfId="10971"/>
    <cellStyle name="20% - Accent6 3 3 4" xfId="9658"/>
    <cellStyle name="20% - Accent6 3 3_Forecast" xfId="22236"/>
    <cellStyle name="20% - Accent6 3 4" xfId="7529"/>
    <cellStyle name="20% - Accent6 3 4 2" xfId="8969"/>
    <cellStyle name="20% - Accent6 3 4 2 2" xfId="11660"/>
    <cellStyle name="20% - Accent6 3 4 2 3" xfId="10347"/>
    <cellStyle name="20% - Accent6 3 4 2_Note Calc" xfId="26745"/>
    <cellStyle name="20% - Accent6 3 4 3" xfId="10972"/>
    <cellStyle name="20% - Accent6 3 4 4" xfId="9659"/>
    <cellStyle name="20% - Accent6 3 4_Forecast" xfId="22237"/>
    <cellStyle name="20% - Accent6 3 5" xfId="7530"/>
    <cellStyle name="20% - Accent6 3 5 2" xfId="8970"/>
    <cellStyle name="20% - Accent6 3 5 2 2" xfId="11661"/>
    <cellStyle name="20% - Accent6 3 5 2 3" xfId="10348"/>
    <cellStyle name="20% - Accent6 3 5 2_Note Calc" xfId="26746"/>
    <cellStyle name="20% - Accent6 3 5 3" xfId="10973"/>
    <cellStyle name="20% - Accent6 3 5 4" xfId="9660"/>
    <cellStyle name="20% - Accent6 3 5_Forecast" xfId="22238"/>
    <cellStyle name="20% - Accent6 3 6" xfId="7531"/>
    <cellStyle name="20% - Accent6 3 6 2" xfId="8971"/>
    <cellStyle name="20% - Accent6 3 6 2 2" xfId="11662"/>
    <cellStyle name="20% - Accent6 3 6 2 3" xfId="10349"/>
    <cellStyle name="20% - Accent6 3 6 2_Note Calc" xfId="26747"/>
    <cellStyle name="20% - Accent6 3 6 3" xfId="10974"/>
    <cellStyle name="20% - Accent6 3 6 4" xfId="9661"/>
    <cellStyle name="20% - Accent6 3 6_Forecast" xfId="22239"/>
    <cellStyle name="20% - Accent6 3 7" xfId="7532"/>
    <cellStyle name="20% - Accent6 3 7 2" xfId="8972"/>
    <cellStyle name="20% - Accent6 3 7 2 2" xfId="11663"/>
    <cellStyle name="20% - Accent6 3 7 2 3" xfId="10350"/>
    <cellStyle name="20% - Accent6 3 7 2_Note Calc" xfId="26748"/>
    <cellStyle name="20% - Accent6 3 7 3" xfId="10975"/>
    <cellStyle name="20% - Accent6 3 7 4" xfId="9662"/>
    <cellStyle name="20% - Accent6 3 7_Forecast" xfId="22240"/>
    <cellStyle name="20% - Accent6 3 8" xfId="8234"/>
    <cellStyle name="20% - Accent6 3 8 2" xfId="9187"/>
    <cellStyle name="20% - Accent6 3 8 2 2" xfId="11878"/>
    <cellStyle name="20% - Accent6 3 8 2 3" xfId="10565"/>
    <cellStyle name="20% - Accent6 3 8 2_Note Calc" xfId="26749"/>
    <cellStyle name="20% - Accent6 3 8 3" xfId="11190"/>
    <cellStyle name="20% - Accent6 3 8 4" xfId="9877"/>
    <cellStyle name="20% - Accent6 3 8_Forecast" xfId="22241"/>
    <cellStyle name="20% - Accent6 3 9" xfId="8362"/>
    <cellStyle name="20% - Accent6 3 9 2" xfId="9282"/>
    <cellStyle name="20% - Accent6 3 9 2 2" xfId="11973"/>
    <cellStyle name="20% - Accent6 3 9 2 3" xfId="10660"/>
    <cellStyle name="20% - Accent6 3 9 2_Note Calc" xfId="26750"/>
    <cellStyle name="20% - Accent6 3 9 3" xfId="11285"/>
    <cellStyle name="20% - Accent6 3 9 4" xfId="9972"/>
    <cellStyle name="20% - Accent6 3 9_Forecast" xfId="22242"/>
    <cellStyle name="20% - Accent6 3_Forecast" xfId="22243"/>
    <cellStyle name="20% - Accent6 30" xfId="13647"/>
    <cellStyle name="20% - Accent6 31" xfId="13648"/>
    <cellStyle name="20% - Accent6 32" xfId="13649"/>
    <cellStyle name="20% - Accent6 33" xfId="13650"/>
    <cellStyle name="20% - Accent6 34" xfId="13651"/>
    <cellStyle name="20% - Accent6 35" xfId="13652"/>
    <cellStyle name="20% - Accent6 36" xfId="13653"/>
    <cellStyle name="20% - Accent6 37" xfId="13654"/>
    <cellStyle name="20% - Accent6 38" xfId="13655"/>
    <cellStyle name="20% - Accent6 39" xfId="13656"/>
    <cellStyle name="20% - Accent6 4" xfId="7533"/>
    <cellStyle name="20% - Accent6 4 2" xfId="8973"/>
    <cellStyle name="20% - Accent6 4 2 2" xfId="11664"/>
    <cellStyle name="20% - Accent6 4 2 3" xfId="10351"/>
    <cellStyle name="20% - Accent6 4 2_Note Calc" xfId="26751"/>
    <cellStyle name="20% - Accent6 4 3" xfId="10976"/>
    <cellStyle name="20% - Accent6 4 4" xfId="9663"/>
    <cellStyle name="20% - Accent6 4 5" xfId="13657"/>
    <cellStyle name="20% - Accent6 4_Forecast" xfId="22244"/>
    <cellStyle name="20% - Accent6 40" xfId="13658"/>
    <cellStyle name="20% - Accent6 41" xfId="13659"/>
    <cellStyle name="20% - Accent6 42" xfId="13660"/>
    <cellStyle name="20% - Accent6 43" xfId="13661"/>
    <cellStyle name="20% - Accent6 44" xfId="13662"/>
    <cellStyle name="20% - Accent6 45" xfId="13663"/>
    <cellStyle name="20% - Accent6 46" xfId="13664"/>
    <cellStyle name="20% - Accent6 47" xfId="13665"/>
    <cellStyle name="20% - Accent6 48" xfId="13666"/>
    <cellStyle name="20% - Accent6 49" xfId="13667"/>
    <cellStyle name="20% - Accent6 5" xfId="7534"/>
    <cellStyle name="20% - Accent6 5 2" xfId="8974"/>
    <cellStyle name="20% - Accent6 5 2 2" xfId="11665"/>
    <cellStyle name="20% - Accent6 5 2 3" xfId="10352"/>
    <cellStyle name="20% - Accent6 5 2_Note Calc" xfId="26752"/>
    <cellStyle name="20% - Accent6 5 3" xfId="10977"/>
    <cellStyle name="20% - Accent6 5 4" xfId="9664"/>
    <cellStyle name="20% - Accent6 5 5" xfId="13668"/>
    <cellStyle name="20% - Accent6 5_Forecast" xfId="22245"/>
    <cellStyle name="20% - Accent6 50" xfId="13669"/>
    <cellStyle name="20% - Accent6 51" xfId="13670"/>
    <cellStyle name="20% - Accent6 52" xfId="13671"/>
    <cellStyle name="20% - Accent6 53" xfId="13672"/>
    <cellStyle name="20% - Accent6 54" xfId="13673"/>
    <cellStyle name="20% - Accent6 55" xfId="13674"/>
    <cellStyle name="20% - Accent6 56" xfId="13675"/>
    <cellStyle name="20% - Accent6 57" xfId="13676"/>
    <cellStyle name="20% - Accent6 58" xfId="13677"/>
    <cellStyle name="20% - Accent6 59" xfId="13678"/>
    <cellStyle name="20% - Accent6 6" xfId="7535"/>
    <cellStyle name="20% - Accent6 6 2" xfId="8975"/>
    <cellStyle name="20% - Accent6 6 2 2" xfId="11666"/>
    <cellStyle name="20% - Accent6 6 2 3" xfId="10353"/>
    <cellStyle name="20% - Accent6 6 2_Note Calc" xfId="26753"/>
    <cellStyle name="20% - Accent6 6 3" xfId="10978"/>
    <cellStyle name="20% - Accent6 6 4" xfId="9665"/>
    <cellStyle name="20% - Accent6 6 5" xfId="13679"/>
    <cellStyle name="20% - Accent6 6_Forecast" xfId="22246"/>
    <cellStyle name="20% - Accent6 60" xfId="13680"/>
    <cellStyle name="20% - Accent6 61" xfId="13681"/>
    <cellStyle name="20% - Accent6 62" xfId="13682"/>
    <cellStyle name="20% - Accent6 63" xfId="13683"/>
    <cellStyle name="20% - Accent6 64" xfId="13684"/>
    <cellStyle name="20% - Accent6 65" xfId="13685"/>
    <cellStyle name="20% - Accent6 66" xfId="13686"/>
    <cellStyle name="20% - Accent6 67" xfId="13687"/>
    <cellStyle name="20% - Accent6 68" xfId="13688"/>
    <cellStyle name="20% - Accent6 69" xfId="13689"/>
    <cellStyle name="20% - Accent6 7" xfId="7536"/>
    <cellStyle name="20% - Accent6 7 2" xfId="8976"/>
    <cellStyle name="20% - Accent6 7 2 2" xfId="11667"/>
    <cellStyle name="20% - Accent6 7 2 3" xfId="10354"/>
    <cellStyle name="20% - Accent6 7 2_Note Calc" xfId="26754"/>
    <cellStyle name="20% - Accent6 7 3" xfId="10979"/>
    <cellStyle name="20% - Accent6 7 4" xfId="9666"/>
    <cellStyle name="20% - Accent6 7 5" xfId="13690"/>
    <cellStyle name="20% - Accent6 7_Forecast" xfId="22247"/>
    <cellStyle name="20% - Accent6 70" xfId="13691"/>
    <cellStyle name="20% - Accent6 71" xfId="13692"/>
    <cellStyle name="20% - Accent6 72" xfId="13693"/>
    <cellStyle name="20% - Accent6 73" xfId="13694"/>
    <cellStyle name="20% - Accent6 74" xfId="13695"/>
    <cellStyle name="20% - Accent6 75" xfId="13696"/>
    <cellStyle name="20% - Accent6 76" xfId="13697"/>
    <cellStyle name="20% - Accent6 77" xfId="13698"/>
    <cellStyle name="20% - Accent6 78" xfId="13699"/>
    <cellStyle name="20% - Accent6 79" xfId="13700"/>
    <cellStyle name="20% - Accent6 8" xfId="7537"/>
    <cellStyle name="20% - Accent6 8 2" xfId="8977"/>
    <cellStyle name="20% - Accent6 8 2 2" xfId="11668"/>
    <cellStyle name="20% - Accent6 8 2 3" xfId="10355"/>
    <cellStyle name="20% - Accent6 8 2_Note Calc" xfId="26755"/>
    <cellStyle name="20% - Accent6 8 3" xfId="10980"/>
    <cellStyle name="20% - Accent6 8 4" xfId="9667"/>
    <cellStyle name="20% - Accent6 8 5" xfId="13701"/>
    <cellStyle name="20% - Accent6 8_Forecast" xfId="22248"/>
    <cellStyle name="20% - Accent6 80" xfId="13702"/>
    <cellStyle name="20% - Accent6 81" xfId="13703"/>
    <cellStyle name="20% - Accent6 82" xfId="13704"/>
    <cellStyle name="20% - Accent6 83" xfId="13705"/>
    <cellStyle name="20% - Accent6 84" xfId="13706"/>
    <cellStyle name="20% - Accent6 85" xfId="13707"/>
    <cellStyle name="20% - Accent6 86" xfId="13708"/>
    <cellStyle name="20% - Accent6 87" xfId="13709"/>
    <cellStyle name="20% - Accent6 88" xfId="13710"/>
    <cellStyle name="20% - Accent6 89" xfId="13711"/>
    <cellStyle name="20% - Accent6 9" xfId="7538"/>
    <cellStyle name="20% - Accent6 9 2" xfId="8978"/>
    <cellStyle name="20% - Accent6 9 2 2" xfId="11669"/>
    <cellStyle name="20% - Accent6 9 2 3" xfId="10356"/>
    <cellStyle name="20% - Accent6 9 2_Note Calc" xfId="26756"/>
    <cellStyle name="20% - Accent6 9 3" xfId="10981"/>
    <cellStyle name="20% - Accent6 9 4" xfId="9668"/>
    <cellStyle name="20% - Accent6 9 5" xfId="13712"/>
    <cellStyle name="20% - Accent6 9_Forecast" xfId="22249"/>
    <cellStyle name="20% - Accent6 90" xfId="13713"/>
    <cellStyle name="20% - Accent6 91" xfId="13714"/>
    <cellStyle name="20% - Accent6 92" xfId="13715"/>
    <cellStyle name="20% - Accent6 93" xfId="13716"/>
    <cellStyle name="20% - Accent6 94" xfId="13717"/>
    <cellStyle name="20% - Accent6 95" xfId="13718"/>
    <cellStyle name="20% - Accent6 96" xfId="13719"/>
    <cellStyle name="20% - Accent6 97" xfId="13720"/>
    <cellStyle name="20% - Accent6 98" xfId="13721"/>
    <cellStyle name="20% - Accent6 99" xfId="13722"/>
    <cellStyle name="40% - Accent1" xfId="187" builtinId="31" customBuiltin="1"/>
    <cellStyle name="40% - Accent1 10" xfId="8782"/>
    <cellStyle name="40% - Accent1 10 2" xfId="11474"/>
    <cellStyle name="40% - Accent1 10 3" xfId="10161"/>
    <cellStyle name="40% - Accent1 10 4" xfId="13723"/>
    <cellStyle name="40% - Accent1 10_Note Calc" xfId="26757"/>
    <cellStyle name="40% - Accent1 100" xfId="13724"/>
    <cellStyle name="40% - Accent1 101" xfId="13725"/>
    <cellStyle name="40% - Accent1 102" xfId="13726"/>
    <cellStyle name="40% - Accent1 103" xfId="13727"/>
    <cellStyle name="40% - Accent1 104" xfId="13728"/>
    <cellStyle name="40% - Accent1 105" xfId="13729"/>
    <cellStyle name="40% - Accent1 106" xfId="13730"/>
    <cellStyle name="40% - Accent1 107" xfId="13731"/>
    <cellStyle name="40% - Accent1 108" xfId="13732"/>
    <cellStyle name="40% - Accent1 109" xfId="13733"/>
    <cellStyle name="40% - Accent1 11" xfId="10786"/>
    <cellStyle name="40% - Accent1 11 2" xfId="13734"/>
    <cellStyle name="40% - Accent1 11_Forecast" xfId="22250"/>
    <cellStyle name="40% - Accent1 110" xfId="13735"/>
    <cellStyle name="40% - Accent1 111" xfId="13736"/>
    <cellStyle name="40% - Accent1 112" xfId="13737"/>
    <cellStyle name="40% - Accent1 113" xfId="13738"/>
    <cellStyle name="40% - Accent1 114" xfId="13739"/>
    <cellStyle name="40% - Accent1 115" xfId="13740"/>
    <cellStyle name="40% - Accent1 116" xfId="13741"/>
    <cellStyle name="40% - Accent1 117" xfId="13742"/>
    <cellStyle name="40% - Accent1 118" xfId="13743"/>
    <cellStyle name="40% - Accent1 119" xfId="13744"/>
    <cellStyle name="40% - Accent1 12" xfId="9473"/>
    <cellStyle name="40% - Accent1 12 2" xfId="13745"/>
    <cellStyle name="40% - Accent1 12_Forecast" xfId="22251"/>
    <cellStyle name="40% - Accent1 120" xfId="13746"/>
    <cellStyle name="40% - Accent1 121" xfId="13747"/>
    <cellStyle name="40% - Accent1 122" xfId="13748"/>
    <cellStyle name="40% - Accent1 123" xfId="13749"/>
    <cellStyle name="40% - Accent1 124" xfId="13750"/>
    <cellStyle name="40% - Accent1 125" xfId="13751"/>
    <cellStyle name="40% - Accent1 126" xfId="13752"/>
    <cellStyle name="40% - Accent1 127" xfId="13753"/>
    <cellStyle name="40% - Accent1 128" xfId="13754"/>
    <cellStyle name="40% - Accent1 129" xfId="13755"/>
    <cellStyle name="40% - Accent1 13" xfId="12236"/>
    <cellStyle name="40% - Accent1 13 2" xfId="13756"/>
    <cellStyle name="40% - Accent1 13_Note Calc" xfId="26758"/>
    <cellStyle name="40% - Accent1 130" xfId="13757"/>
    <cellStyle name="40% - Accent1 131" xfId="13758"/>
    <cellStyle name="40% - Accent1 132" xfId="13759"/>
    <cellStyle name="40% - Accent1 133" xfId="13760"/>
    <cellStyle name="40% - Accent1 134" xfId="13761"/>
    <cellStyle name="40% - Accent1 135" xfId="13762"/>
    <cellStyle name="40% - Accent1 136" xfId="13763"/>
    <cellStyle name="40% - Accent1 137" xfId="13764"/>
    <cellStyle name="40% - Accent1 138" xfId="13765"/>
    <cellStyle name="40% - Accent1 139" xfId="13766"/>
    <cellStyle name="40% - Accent1 14" xfId="13767"/>
    <cellStyle name="40% - Accent1 140" xfId="13768"/>
    <cellStyle name="40% - Accent1 141" xfId="13769"/>
    <cellStyle name="40% - Accent1 142" xfId="13770"/>
    <cellStyle name="40% - Accent1 143" xfId="13771"/>
    <cellStyle name="40% - Accent1 144" xfId="13772"/>
    <cellStyle name="40% - Accent1 145" xfId="13773"/>
    <cellStyle name="40% - Accent1 146" xfId="13774"/>
    <cellStyle name="40% - Accent1 147" xfId="13775"/>
    <cellStyle name="40% - Accent1 148" xfId="13776"/>
    <cellStyle name="40% - Accent1 149" xfId="13777"/>
    <cellStyle name="40% - Accent1 15" xfId="13778"/>
    <cellStyle name="40% - Accent1 150" xfId="13779"/>
    <cellStyle name="40% - Accent1 151" xfId="13780"/>
    <cellStyle name="40% - Accent1 152" xfId="13781"/>
    <cellStyle name="40% - Accent1 153" xfId="13782"/>
    <cellStyle name="40% - Accent1 154" xfId="13783"/>
    <cellStyle name="40% - Accent1 155" xfId="13784"/>
    <cellStyle name="40% - Accent1 156" xfId="13785"/>
    <cellStyle name="40% - Accent1 157" xfId="13786"/>
    <cellStyle name="40% - Accent1 158" xfId="13787"/>
    <cellStyle name="40% - Accent1 159" xfId="13788"/>
    <cellStyle name="40% - Accent1 16" xfId="13789"/>
    <cellStyle name="40% - Accent1 160" xfId="13790"/>
    <cellStyle name="40% - Accent1 161" xfId="13791"/>
    <cellStyle name="40% - Accent1 162" xfId="13792"/>
    <cellStyle name="40% - Accent1 163" xfId="13793"/>
    <cellStyle name="40% - Accent1 163 2" xfId="21394"/>
    <cellStyle name="40% - Accent1 163 3" xfId="21395"/>
    <cellStyle name="40% - Accent1 163_Note Calc" xfId="26759"/>
    <cellStyle name="40% - Accent1 164" xfId="13794"/>
    <cellStyle name="40% - Accent1 165" xfId="13795"/>
    <cellStyle name="40% - Accent1 166" xfId="13796"/>
    <cellStyle name="40% - Accent1 167" xfId="13797"/>
    <cellStyle name="40% - Accent1 168" xfId="13798"/>
    <cellStyle name="40% - Accent1 169" xfId="13799"/>
    <cellStyle name="40% - Accent1 17" xfId="13800"/>
    <cellStyle name="40% - Accent1 170" xfId="13801"/>
    <cellStyle name="40% - Accent1 171" xfId="13802"/>
    <cellStyle name="40% - Accent1 172" xfId="13803"/>
    <cellStyle name="40% - Accent1 173" xfId="13804"/>
    <cellStyle name="40% - Accent1 174" xfId="13805"/>
    <cellStyle name="40% - Accent1 175" xfId="13806"/>
    <cellStyle name="40% - Accent1 176" xfId="13807"/>
    <cellStyle name="40% - Accent1 177" xfId="13808"/>
    <cellStyle name="40% - Accent1 178" xfId="13809"/>
    <cellStyle name="40% - Accent1 179" xfId="13810"/>
    <cellStyle name="40% - Accent1 18" xfId="13811"/>
    <cellStyle name="40% - Accent1 180" xfId="13812"/>
    <cellStyle name="40% - Accent1 181" xfId="13813"/>
    <cellStyle name="40% - Accent1 182" xfId="13814"/>
    <cellStyle name="40% - Accent1 183" xfId="13815"/>
    <cellStyle name="40% - Accent1 184" xfId="13816"/>
    <cellStyle name="40% - Accent1 185" xfId="13817"/>
    <cellStyle name="40% - Accent1 186" xfId="13818"/>
    <cellStyle name="40% - Accent1 187" xfId="13819"/>
    <cellStyle name="40% - Accent1 188" xfId="13820"/>
    <cellStyle name="40% - Accent1 189" xfId="13821"/>
    <cellStyle name="40% - Accent1 19" xfId="13822"/>
    <cellStyle name="40% - Accent1 190" xfId="13823"/>
    <cellStyle name="40% - Accent1 191" xfId="13824"/>
    <cellStyle name="40% - Accent1 192" xfId="13825"/>
    <cellStyle name="40% - Accent1 193" xfId="13826"/>
    <cellStyle name="40% - Accent1 194" xfId="13827"/>
    <cellStyle name="40% - Accent1 195" xfId="13828"/>
    <cellStyle name="40% - Accent1 196" xfId="13829"/>
    <cellStyle name="40% - Accent1 197" xfId="13830"/>
    <cellStyle name="40% - Accent1 198" xfId="13831"/>
    <cellStyle name="40% - Accent1 199" xfId="13832"/>
    <cellStyle name="40% - Accent1 2" xfId="188"/>
    <cellStyle name="40% - Accent1 2 10" xfId="189"/>
    <cellStyle name="40% - Accent1 2 11" xfId="190"/>
    <cellStyle name="40% - Accent1 2 12" xfId="191"/>
    <cellStyle name="40% - Accent1 2 13" xfId="192"/>
    <cellStyle name="40% - Accent1 2 14" xfId="193"/>
    <cellStyle name="40% - Accent1 2 15" xfId="194"/>
    <cellStyle name="40% - Accent1 2 16" xfId="195"/>
    <cellStyle name="40% - Accent1 2 17" xfId="196"/>
    <cellStyle name="40% - Accent1 2 18" xfId="197"/>
    <cellStyle name="40% - Accent1 2 19" xfId="198"/>
    <cellStyle name="40% - Accent1 2 2" xfId="199"/>
    <cellStyle name="40% - Accent1 2 2 2" xfId="7540"/>
    <cellStyle name="40% - Accent1 2 2 2 2" xfId="8980"/>
    <cellStyle name="40% - Accent1 2 2 2 2 2" xfId="11671"/>
    <cellStyle name="40% - Accent1 2 2 2 2 3" xfId="10358"/>
    <cellStyle name="40% - Accent1 2 2 2 2_Note Calc" xfId="26760"/>
    <cellStyle name="40% - Accent1 2 2 2 3" xfId="10983"/>
    <cellStyle name="40% - Accent1 2 2 2 4" xfId="9670"/>
    <cellStyle name="40% - Accent1 2 2 2_Forecast" xfId="22252"/>
    <cellStyle name="40% - Accent1 2 2 3" xfId="8236"/>
    <cellStyle name="40% - Accent1 2 2 3 2" xfId="9189"/>
    <cellStyle name="40% - Accent1 2 2 3 2 2" xfId="11880"/>
    <cellStyle name="40% - Accent1 2 2 3 2 3" xfId="10567"/>
    <cellStyle name="40% - Accent1 2 2 3 2_Note Calc" xfId="26761"/>
    <cellStyle name="40% - Accent1 2 2 3 3" xfId="11192"/>
    <cellStyle name="40% - Accent1 2 2 3 4" xfId="9879"/>
    <cellStyle name="40% - Accent1 2 2 3_Forecast" xfId="22253"/>
    <cellStyle name="40% - Accent1 2 2 4" xfId="8360"/>
    <cellStyle name="40% - Accent1 2 2 4 2" xfId="9280"/>
    <cellStyle name="40% - Accent1 2 2 4 2 2" xfId="11971"/>
    <cellStyle name="40% - Accent1 2 2 4 2 3" xfId="10658"/>
    <cellStyle name="40% - Accent1 2 2 4 2_Note Calc" xfId="26762"/>
    <cellStyle name="40% - Accent1 2 2 4 3" xfId="11283"/>
    <cellStyle name="40% - Accent1 2 2 4 4" xfId="9970"/>
    <cellStyle name="40% - Accent1 2 2 4_Forecast" xfId="22254"/>
    <cellStyle name="40% - Accent1 2 2 5" xfId="21396"/>
    <cellStyle name="40% - Accent1 2 2_SFPR" xfId="21877"/>
    <cellStyle name="40% - Accent1 2 20" xfId="200"/>
    <cellStyle name="40% - Accent1 2 21" xfId="201"/>
    <cellStyle name="40% - Accent1 2 22" xfId="202"/>
    <cellStyle name="40% - Accent1 2 23" xfId="203"/>
    <cellStyle name="40% - Accent1 2 24" xfId="204"/>
    <cellStyle name="40% - Accent1 2 25" xfId="205"/>
    <cellStyle name="40% - Accent1 2 26" xfId="206"/>
    <cellStyle name="40% - Accent1 2 27" xfId="207"/>
    <cellStyle name="40% - Accent1 2 28" xfId="208"/>
    <cellStyle name="40% - Accent1 2 29" xfId="209"/>
    <cellStyle name="40% - Accent1 2 3" xfId="210"/>
    <cellStyle name="40% - Accent1 2 3 2" xfId="7541"/>
    <cellStyle name="40% - Accent1 2 3 2 2" xfId="8981"/>
    <cellStyle name="40% - Accent1 2 3 2 2 2" xfId="11672"/>
    <cellStyle name="40% - Accent1 2 3 2 2 3" xfId="10359"/>
    <cellStyle name="40% - Accent1 2 3 2 2_Note Calc" xfId="26763"/>
    <cellStyle name="40% - Accent1 2 3 2 3" xfId="10984"/>
    <cellStyle name="40% - Accent1 2 3 2 4" xfId="9671"/>
    <cellStyle name="40% - Accent1 2 3 2_Forecast" xfId="22255"/>
    <cellStyle name="40% - Accent1 2 3 3" xfId="8237"/>
    <cellStyle name="40% - Accent1 2 3 3 2" xfId="9190"/>
    <cellStyle name="40% - Accent1 2 3 3 2 2" xfId="11881"/>
    <cellStyle name="40% - Accent1 2 3 3 2 3" xfId="10568"/>
    <cellStyle name="40% - Accent1 2 3 3 2_Note Calc" xfId="26764"/>
    <cellStyle name="40% - Accent1 2 3 3 3" xfId="11193"/>
    <cellStyle name="40% - Accent1 2 3 3 4" xfId="9880"/>
    <cellStyle name="40% - Accent1 2 3 3_Forecast" xfId="22256"/>
    <cellStyle name="40% - Accent1 2 3 4" xfId="8359"/>
    <cellStyle name="40% - Accent1 2 3 4 2" xfId="9279"/>
    <cellStyle name="40% - Accent1 2 3 4 2 2" xfId="11970"/>
    <cellStyle name="40% - Accent1 2 3 4 2 3" xfId="10657"/>
    <cellStyle name="40% - Accent1 2 3 4 2_Note Calc" xfId="26765"/>
    <cellStyle name="40% - Accent1 2 3 4 3" xfId="11282"/>
    <cellStyle name="40% - Accent1 2 3 4 4" xfId="9969"/>
    <cellStyle name="40% - Accent1 2 3 4_Forecast" xfId="22257"/>
    <cellStyle name="40% - Accent1 2 3 5" xfId="21397"/>
    <cellStyle name="40% - Accent1 2 3_SFPR" xfId="21878"/>
    <cellStyle name="40% - Accent1 2 30" xfId="211"/>
    <cellStyle name="40% - Accent1 2 31" xfId="7539"/>
    <cellStyle name="40% - Accent1 2 31 2" xfId="8979"/>
    <cellStyle name="40% - Accent1 2 31 2 2" xfId="11670"/>
    <cellStyle name="40% - Accent1 2 31 2 3" xfId="10357"/>
    <cellStyle name="40% - Accent1 2 31 2_Note Calc" xfId="26766"/>
    <cellStyle name="40% - Accent1 2 31 3" xfId="10982"/>
    <cellStyle name="40% - Accent1 2 31 4" xfId="9669"/>
    <cellStyle name="40% - Accent1 2 31_Forecast" xfId="22258"/>
    <cellStyle name="40% - Accent1 2 32" xfId="8235"/>
    <cellStyle name="40% - Accent1 2 32 2" xfId="9188"/>
    <cellStyle name="40% - Accent1 2 32 2 2" xfId="11879"/>
    <cellStyle name="40% - Accent1 2 32 2 3" xfId="10566"/>
    <cellStyle name="40% - Accent1 2 32 2_Note Calc" xfId="26767"/>
    <cellStyle name="40% - Accent1 2 32 3" xfId="11191"/>
    <cellStyle name="40% - Accent1 2 32 4" xfId="9878"/>
    <cellStyle name="40% - Accent1 2 32_Forecast" xfId="22259"/>
    <cellStyle name="40% - Accent1 2 33" xfId="8361"/>
    <cellStyle name="40% - Accent1 2 33 2" xfId="9281"/>
    <cellStyle name="40% - Accent1 2 33 2 2" xfId="11972"/>
    <cellStyle name="40% - Accent1 2 33 2 3" xfId="10659"/>
    <cellStyle name="40% - Accent1 2 33 2_Note Calc" xfId="26768"/>
    <cellStyle name="40% - Accent1 2 33 3" xfId="11284"/>
    <cellStyle name="40% - Accent1 2 33 4" xfId="9971"/>
    <cellStyle name="40% - Accent1 2 33_Forecast" xfId="22260"/>
    <cellStyle name="40% - Accent1 2 34" xfId="12105"/>
    <cellStyle name="40% - Accent1 2 35" xfId="13833"/>
    <cellStyle name="40% - Accent1 2 36" xfId="26769"/>
    <cellStyle name="40% - Accent1 2 4" xfId="212"/>
    <cellStyle name="40% - Accent1 2 4 2" xfId="7542"/>
    <cellStyle name="40% - Accent1 2 4 2 2" xfId="8982"/>
    <cellStyle name="40% - Accent1 2 4 2 2 2" xfId="11673"/>
    <cellStyle name="40% - Accent1 2 4 2 2 3" xfId="10360"/>
    <cellStyle name="40% - Accent1 2 4 2 2_Note Calc" xfId="26770"/>
    <cellStyle name="40% - Accent1 2 4 2 3" xfId="10985"/>
    <cellStyle name="40% - Accent1 2 4 2 4" xfId="9672"/>
    <cellStyle name="40% - Accent1 2 4 2_Forecast" xfId="22261"/>
    <cellStyle name="40% - Accent1 2 4 3" xfId="8238"/>
    <cellStyle name="40% - Accent1 2 4 3 2" xfId="9191"/>
    <cellStyle name="40% - Accent1 2 4 3 2 2" xfId="11882"/>
    <cellStyle name="40% - Accent1 2 4 3 2 3" xfId="10569"/>
    <cellStyle name="40% - Accent1 2 4 3 2_Note Calc" xfId="26771"/>
    <cellStyle name="40% - Accent1 2 4 3 3" xfId="11194"/>
    <cellStyle name="40% - Accent1 2 4 3 4" xfId="9881"/>
    <cellStyle name="40% - Accent1 2 4 3_Forecast" xfId="22262"/>
    <cellStyle name="40% - Accent1 2 4 4" xfId="8358"/>
    <cellStyle name="40% - Accent1 2 4 4 2" xfId="9278"/>
    <cellStyle name="40% - Accent1 2 4 4 2 2" xfId="11969"/>
    <cellStyle name="40% - Accent1 2 4 4 2 3" xfId="10656"/>
    <cellStyle name="40% - Accent1 2 4 4 2_Note Calc" xfId="26772"/>
    <cellStyle name="40% - Accent1 2 4 4 3" xfId="11281"/>
    <cellStyle name="40% - Accent1 2 4 4 4" xfId="9968"/>
    <cellStyle name="40% - Accent1 2 4 4_Forecast" xfId="22263"/>
    <cellStyle name="40% - Accent1 2 4 5" xfId="21398"/>
    <cellStyle name="40% - Accent1 2 4_SFPR" xfId="21879"/>
    <cellStyle name="40% - Accent1 2 5" xfId="213"/>
    <cellStyle name="40% - Accent1 2 5 2" xfId="7543"/>
    <cellStyle name="40% - Accent1 2 5 2 2" xfId="8983"/>
    <cellStyle name="40% - Accent1 2 5 2 2 2" xfId="11674"/>
    <cellStyle name="40% - Accent1 2 5 2 2 3" xfId="10361"/>
    <cellStyle name="40% - Accent1 2 5 2 2_Note Calc" xfId="26773"/>
    <cellStyle name="40% - Accent1 2 5 2 3" xfId="10986"/>
    <cellStyle name="40% - Accent1 2 5 2 4" xfId="9673"/>
    <cellStyle name="40% - Accent1 2 5 2_Forecast" xfId="22264"/>
    <cellStyle name="40% - Accent1 2 5 3" xfId="8239"/>
    <cellStyle name="40% - Accent1 2 5 3 2" xfId="9192"/>
    <cellStyle name="40% - Accent1 2 5 3 2 2" xfId="11883"/>
    <cellStyle name="40% - Accent1 2 5 3 2 3" xfId="10570"/>
    <cellStyle name="40% - Accent1 2 5 3 2_Note Calc" xfId="26774"/>
    <cellStyle name="40% - Accent1 2 5 3 3" xfId="11195"/>
    <cellStyle name="40% - Accent1 2 5 3 4" xfId="9882"/>
    <cellStyle name="40% - Accent1 2 5 3_Forecast" xfId="22265"/>
    <cellStyle name="40% - Accent1 2 5 4" xfId="8357"/>
    <cellStyle name="40% - Accent1 2 5 4 2" xfId="9277"/>
    <cellStyle name="40% - Accent1 2 5 4 2 2" xfId="11968"/>
    <cellStyle name="40% - Accent1 2 5 4 2 3" xfId="10655"/>
    <cellStyle name="40% - Accent1 2 5 4 2_Note Calc" xfId="26775"/>
    <cellStyle name="40% - Accent1 2 5 4 3" xfId="11280"/>
    <cellStyle name="40% - Accent1 2 5 4 4" xfId="9967"/>
    <cellStyle name="40% - Accent1 2 5 4_Forecast" xfId="22266"/>
    <cellStyle name="40% - Accent1 2 6" xfId="214"/>
    <cellStyle name="40% - Accent1 2 6 2" xfId="7544"/>
    <cellStyle name="40% - Accent1 2 6 2 2" xfId="8984"/>
    <cellStyle name="40% - Accent1 2 6 2 2 2" xfId="11675"/>
    <cellStyle name="40% - Accent1 2 6 2 2 3" xfId="10362"/>
    <cellStyle name="40% - Accent1 2 6 2 2_Note Calc" xfId="26776"/>
    <cellStyle name="40% - Accent1 2 6 2 3" xfId="10987"/>
    <cellStyle name="40% - Accent1 2 6 2 4" xfId="9674"/>
    <cellStyle name="40% - Accent1 2 6 2_Forecast" xfId="22267"/>
    <cellStyle name="40% - Accent1 2 6 3" xfId="8240"/>
    <cellStyle name="40% - Accent1 2 6 3 2" xfId="9193"/>
    <cellStyle name="40% - Accent1 2 6 3 2 2" xfId="11884"/>
    <cellStyle name="40% - Accent1 2 6 3 2 3" xfId="10571"/>
    <cellStyle name="40% - Accent1 2 6 3 2_Note Calc" xfId="26777"/>
    <cellStyle name="40% - Accent1 2 6 3 3" xfId="11196"/>
    <cellStyle name="40% - Accent1 2 6 3 4" xfId="9883"/>
    <cellStyle name="40% - Accent1 2 6 3_Forecast" xfId="22268"/>
    <cellStyle name="40% - Accent1 2 6 4" xfId="8356"/>
    <cellStyle name="40% - Accent1 2 6 4 2" xfId="9276"/>
    <cellStyle name="40% - Accent1 2 6 4 2 2" xfId="11967"/>
    <cellStyle name="40% - Accent1 2 6 4 2 3" xfId="10654"/>
    <cellStyle name="40% - Accent1 2 6 4 2_Note Calc" xfId="26778"/>
    <cellStyle name="40% - Accent1 2 6 4 3" xfId="11279"/>
    <cellStyle name="40% - Accent1 2 6 4 4" xfId="9966"/>
    <cellStyle name="40% - Accent1 2 6 4_Forecast" xfId="22269"/>
    <cellStyle name="40% - Accent1 2 7" xfId="215"/>
    <cellStyle name="40% - Accent1 2 7 2" xfId="7545"/>
    <cellStyle name="40% - Accent1 2 7 2 2" xfId="8985"/>
    <cellStyle name="40% - Accent1 2 7 2 2 2" xfId="11676"/>
    <cellStyle name="40% - Accent1 2 7 2 2 3" xfId="10363"/>
    <cellStyle name="40% - Accent1 2 7 2 2_Note Calc" xfId="26779"/>
    <cellStyle name="40% - Accent1 2 7 2 3" xfId="10988"/>
    <cellStyle name="40% - Accent1 2 7 2 4" xfId="9675"/>
    <cellStyle name="40% - Accent1 2 7 2_Forecast" xfId="22270"/>
    <cellStyle name="40% - Accent1 2 7 3" xfId="8241"/>
    <cellStyle name="40% - Accent1 2 7 3 2" xfId="9194"/>
    <cellStyle name="40% - Accent1 2 7 3 2 2" xfId="11885"/>
    <cellStyle name="40% - Accent1 2 7 3 2 3" xfId="10572"/>
    <cellStyle name="40% - Accent1 2 7 3 2_Note Calc" xfId="26780"/>
    <cellStyle name="40% - Accent1 2 7 3 3" xfId="11197"/>
    <cellStyle name="40% - Accent1 2 7 3 4" xfId="9884"/>
    <cellStyle name="40% - Accent1 2 7 3_Forecast" xfId="22271"/>
    <cellStyle name="40% - Accent1 2 7 4" xfId="8100"/>
    <cellStyle name="40% - Accent1 2 7 4 2" xfId="9116"/>
    <cellStyle name="40% - Accent1 2 7 4 2 2" xfId="11807"/>
    <cellStyle name="40% - Accent1 2 7 4 2 3" xfId="10494"/>
    <cellStyle name="40% - Accent1 2 7 4 2_Note Calc" xfId="26781"/>
    <cellStyle name="40% - Accent1 2 7 4 3" xfId="11119"/>
    <cellStyle name="40% - Accent1 2 7 4 4" xfId="9806"/>
    <cellStyle name="40% - Accent1 2 7 4_Forecast" xfId="22272"/>
    <cellStyle name="40% - Accent1 2 8" xfId="216"/>
    <cellStyle name="40% - Accent1 2 9" xfId="217"/>
    <cellStyle name="40% - Accent1 2_Forecast" xfId="22273"/>
    <cellStyle name="40% - Accent1 20" xfId="13834"/>
    <cellStyle name="40% - Accent1 200" xfId="13835"/>
    <cellStyle name="40% - Accent1 201" xfId="13836"/>
    <cellStyle name="40% - Accent1 202" xfId="13837"/>
    <cellStyle name="40% - Accent1 203" xfId="13838"/>
    <cellStyle name="40% - Accent1 204" xfId="13839"/>
    <cellStyle name="40% - Accent1 205" xfId="13840"/>
    <cellStyle name="40% - Accent1 206" xfId="13841"/>
    <cellStyle name="40% - Accent1 207" xfId="13842"/>
    <cellStyle name="40% - Accent1 208" xfId="13843"/>
    <cellStyle name="40% - Accent1 209" xfId="13844"/>
    <cellStyle name="40% - Accent1 21" xfId="13845"/>
    <cellStyle name="40% - Accent1 210" xfId="13846"/>
    <cellStyle name="40% - Accent1 211" xfId="13847"/>
    <cellStyle name="40% - Accent1 212" xfId="13848"/>
    <cellStyle name="40% - Accent1 213" xfId="13849"/>
    <cellStyle name="40% - Accent1 214" xfId="13850"/>
    <cellStyle name="40% - Accent1 215" xfId="13851"/>
    <cellStyle name="40% - Accent1 216" xfId="13852"/>
    <cellStyle name="40% - Accent1 217" xfId="13853"/>
    <cellStyle name="40% - Accent1 218" xfId="13854"/>
    <cellStyle name="40% - Accent1 219" xfId="13855"/>
    <cellStyle name="40% - Accent1 22" xfId="13856"/>
    <cellStyle name="40% - Accent1 220" xfId="13857"/>
    <cellStyle name="40% - Accent1 221" xfId="13858"/>
    <cellStyle name="40% - Accent1 222" xfId="13859"/>
    <cellStyle name="40% - Accent1 223" xfId="13860"/>
    <cellStyle name="40% - Accent1 224" xfId="13861"/>
    <cellStyle name="40% - Accent1 225" xfId="13862"/>
    <cellStyle name="40% - Accent1 226" xfId="13863"/>
    <cellStyle name="40% - Accent1 227" xfId="13864"/>
    <cellStyle name="40% - Accent1 228" xfId="13865"/>
    <cellStyle name="40% - Accent1 229" xfId="13866"/>
    <cellStyle name="40% - Accent1 23" xfId="13867"/>
    <cellStyle name="40% - Accent1 230" xfId="13868"/>
    <cellStyle name="40% - Accent1 231" xfId="13869"/>
    <cellStyle name="40% - Accent1 232" xfId="13870"/>
    <cellStyle name="40% - Accent1 233" xfId="13871"/>
    <cellStyle name="40% - Accent1 234" xfId="13872"/>
    <cellStyle name="40% - Accent1 235" xfId="13873"/>
    <cellStyle name="40% - Accent1 236" xfId="13874"/>
    <cellStyle name="40% - Accent1 237" xfId="13875"/>
    <cellStyle name="40% - Accent1 238" xfId="13876"/>
    <cellStyle name="40% - Accent1 239" xfId="13877"/>
    <cellStyle name="40% - Accent1 24" xfId="13878"/>
    <cellStyle name="40% - Accent1 240" xfId="13879"/>
    <cellStyle name="40% - Accent1 241" xfId="13880"/>
    <cellStyle name="40% - Accent1 242" xfId="13881"/>
    <cellStyle name="40% - Accent1 243" xfId="13882"/>
    <cellStyle name="40% - Accent1 244" xfId="13883"/>
    <cellStyle name="40% - Accent1 245" xfId="21399"/>
    <cellStyle name="40% - Accent1 246" xfId="21400"/>
    <cellStyle name="40% - Accent1 247" xfId="21401"/>
    <cellStyle name="40% - Accent1 248" xfId="21402"/>
    <cellStyle name="40% - Accent1 249" xfId="21403"/>
    <cellStyle name="40% - Accent1 25" xfId="13884"/>
    <cellStyle name="40% - Accent1 250" xfId="21404"/>
    <cellStyle name="40% - Accent1 251" xfId="21405"/>
    <cellStyle name="40% - Accent1 252" xfId="21406"/>
    <cellStyle name="40% - Accent1 253" xfId="21407"/>
    <cellStyle name="40% - Accent1 254" xfId="21408"/>
    <cellStyle name="40% - Accent1 255" xfId="21409"/>
    <cellStyle name="40% - Accent1 256" xfId="21410"/>
    <cellStyle name="40% - Accent1 257" xfId="21411"/>
    <cellStyle name="40% - Accent1 258" xfId="21800"/>
    <cellStyle name="40% - Accent1 259" xfId="21801"/>
    <cellStyle name="40% - Accent1 26" xfId="13885"/>
    <cellStyle name="40% - Accent1 260" xfId="21802"/>
    <cellStyle name="40% - Accent1 261" xfId="21803"/>
    <cellStyle name="40% - Accent1 262" xfId="21724"/>
    <cellStyle name="40% - Accent1 263" xfId="21967"/>
    <cellStyle name="40% - Accent1 264" xfId="21901"/>
    <cellStyle name="40% - Accent1 265" xfId="26782"/>
    <cellStyle name="40% - Accent1 27" xfId="13886"/>
    <cellStyle name="40% - Accent1 28" xfId="13887"/>
    <cellStyle name="40% - Accent1 29" xfId="13888"/>
    <cellStyle name="40% - Accent1 3" xfId="7411"/>
    <cellStyle name="40% - Accent1 3 10" xfId="8853"/>
    <cellStyle name="40% - Accent1 3 10 2" xfId="11544"/>
    <cellStyle name="40% - Accent1 3 10 3" xfId="10231"/>
    <cellStyle name="40% - Accent1 3 10_Note Calc" xfId="26783"/>
    <cellStyle name="40% - Accent1 3 11" xfId="10856"/>
    <cellStyle name="40% - Accent1 3 12" xfId="9543"/>
    <cellStyle name="40% - Accent1 3 12 2" xfId="22274"/>
    <cellStyle name="40% - Accent1 3 12_Forecast" xfId="22275"/>
    <cellStyle name="40% - Accent1 3 13" xfId="13889"/>
    <cellStyle name="40% - Accent1 3 14" xfId="22276"/>
    <cellStyle name="40% - Accent1 3 2" xfId="7546"/>
    <cellStyle name="40% - Accent1 3 2 2" xfId="8986"/>
    <cellStyle name="40% - Accent1 3 2 2 2" xfId="11677"/>
    <cellStyle name="40% - Accent1 3 2 2 3" xfId="10364"/>
    <cellStyle name="40% - Accent1 3 2 2_Note Calc" xfId="26784"/>
    <cellStyle name="40% - Accent1 3 2 3" xfId="10989"/>
    <cellStyle name="40% - Accent1 3 2 4" xfId="9676"/>
    <cellStyle name="40% - Accent1 3 2_Forecast" xfId="22277"/>
    <cellStyle name="40% - Accent1 3 3" xfId="7547"/>
    <cellStyle name="40% - Accent1 3 3 2" xfId="8987"/>
    <cellStyle name="40% - Accent1 3 3 2 2" xfId="11678"/>
    <cellStyle name="40% - Accent1 3 3 2 3" xfId="10365"/>
    <cellStyle name="40% - Accent1 3 3 2_Note Calc" xfId="26785"/>
    <cellStyle name="40% - Accent1 3 3 3" xfId="10990"/>
    <cellStyle name="40% - Accent1 3 3 4" xfId="9677"/>
    <cellStyle name="40% - Accent1 3 3_Forecast" xfId="22278"/>
    <cellStyle name="40% - Accent1 3 4" xfId="7548"/>
    <cellStyle name="40% - Accent1 3 4 2" xfId="8988"/>
    <cellStyle name="40% - Accent1 3 4 2 2" xfId="11679"/>
    <cellStyle name="40% - Accent1 3 4 2 3" xfId="10366"/>
    <cellStyle name="40% - Accent1 3 4 2_Note Calc" xfId="26786"/>
    <cellStyle name="40% - Accent1 3 4 3" xfId="10991"/>
    <cellStyle name="40% - Accent1 3 4 4" xfId="9678"/>
    <cellStyle name="40% - Accent1 3 4_Forecast" xfId="22279"/>
    <cellStyle name="40% - Accent1 3 5" xfId="7549"/>
    <cellStyle name="40% - Accent1 3 5 2" xfId="8989"/>
    <cellStyle name="40% - Accent1 3 5 2 2" xfId="11680"/>
    <cellStyle name="40% - Accent1 3 5 2 3" xfId="10367"/>
    <cellStyle name="40% - Accent1 3 5 2_Note Calc" xfId="26787"/>
    <cellStyle name="40% - Accent1 3 5 3" xfId="10992"/>
    <cellStyle name="40% - Accent1 3 5 4" xfId="9679"/>
    <cellStyle name="40% - Accent1 3 5_Forecast" xfId="22280"/>
    <cellStyle name="40% - Accent1 3 6" xfId="7550"/>
    <cellStyle name="40% - Accent1 3 6 2" xfId="8990"/>
    <cellStyle name="40% - Accent1 3 6 2 2" xfId="11681"/>
    <cellStyle name="40% - Accent1 3 6 2 3" xfId="10368"/>
    <cellStyle name="40% - Accent1 3 6 2_Note Calc" xfId="26788"/>
    <cellStyle name="40% - Accent1 3 6 3" xfId="10993"/>
    <cellStyle name="40% - Accent1 3 6 4" xfId="9680"/>
    <cellStyle name="40% - Accent1 3 6_Forecast" xfId="22281"/>
    <cellStyle name="40% - Accent1 3 7" xfId="7551"/>
    <cellStyle name="40% - Accent1 3 7 2" xfId="8991"/>
    <cellStyle name="40% - Accent1 3 7 2 2" xfId="11682"/>
    <cellStyle name="40% - Accent1 3 7 2 3" xfId="10369"/>
    <cellStyle name="40% - Accent1 3 7 2_Note Calc" xfId="26789"/>
    <cellStyle name="40% - Accent1 3 7 3" xfId="10994"/>
    <cellStyle name="40% - Accent1 3 7 4" xfId="9681"/>
    <cellStyle name="40% - Accent1 3 7_Forecast" xfId="22282"/>
    <cellStyle name="40% - Accent1 3 8" xfId="8242"/>
    <cellStyle name="40% - Accent1 3 8 2" xfId="9195"/>
    <cellStyle name="40% - Accent1 3 8 2 2" xfId="11886"/>
    <cellStyle name="40% - Accent1 3 8 2 3" xfId="10573"/>
    <cellStyle name="40% - Accent1 3 8 2_Note Calc" xfId="26790"/>
    <cellStyle name="40% - Accent1 3 8 3" xfId="11198"/>
    <cellStyle name="40% - Accent1 3 8 4" xfId="9885"/>
    <cellStyle name="40% - Accent1 3 8_Forecast" xfId="22283"/>
    <cellStyle name="40% - Accent1 3 9" xfId="8136"/>
    <cellStyle name="40% - Accent1 3 9 2" xfId="9149"/>
    <cellStyle name="40% - Accent1 3 9 2 2" xfId="11840"/>
    <cellStyle name="40% - Accent1 3 9 2 3" xfId="10527"/>
    <cellStyle name="40% - Accent1 3 9 2_Note Calc" xfId="26791"/>
    <cellStyle name="40% - Accent1 3 9 3" xfId="11152"/>
    <cellStyle name="40% - Accent1 3 9 4" xfId="9839"/>
    <cellStyle name="40% - Accent1 3 9_Forecast" xfId="22284"/>
    <cellStyle name="40% - Accent1 3_Forecast" xfId="22285"/>
    <cellStyle name="40% - Accent1 30" xfId="13890"/>
    <cellStyle name="40% - Accent1 31" xfId="13891"/>
    <cellStyle name="40% - Accent1 32" xfId="13892"/>
    <cellStyle name="40% - Accent1 33" xfId="13893"/>
    <cellStyle name="40% - Accent1 34" xfId="13894"/>
    <cellStyle name="40% - Accent1 35" xfId="13895"/>
    <cellStyle name="40% - Accent1 36" xfId="13896"/>
    <cellStyle name="40% - Accent1 37" xfId="13897"/>
    <cellStyle name="40% - Accent1 38" xfId="13898"/>
    <cellStyle name="40% - Accent1 39" xfId="13899"/>
    <cellStyle name="40% - Accent1 4" xfId="7552"/>
    <cellStyle name="40% - Accent1 4 2" xfId="8992"/>
    <cellStyle name="40% - Accent1 4 2 2" xfId="11683"/>
    <cellStyle name="40% - Accent1 4 2 3" xfId="10370"/>
    <cellStyle name="40% - Accent1 4 2_Note Calc" xfId="26792"/>
    <cellStyle name="40% - Accent1 4 3" xfId="10995"/>
    <cellStyle name="40% - Accent1 4 4" xfId="9682"/>
    <cellStyle name="40% - Accent1 4 5" xfId="13900"/>
    <cellStyle name="40% - Accent1 4_Forecast" xfId="22286"/>
    <cellStyle name="40% - Accent1 40" xfId="13901"/>
    <cellStyle name="40% - Accent1 41" xfId="13902"/>
    <cellStyle name="40% - Accent1 42" xfId="13903"/>
    <cellStyle name="40% - Accent1 43" xfId="13904"/>
    <cellStyle name="40% - Accent1 44" xfId="13905"/>
    <cellStyle name="40% - Accent1 45" xfId="13906"/>
    <cellStyle name="40% - Accent1 46" xfId="13907"/>
    <cellStyle name="40% - Accent1 47" xfId="13908"/>
    <cellStyle name="40% - Accent1 48" xfId="13909"/>
    <cellStyle name="40% - Accent1 49" xfId="13910"/>
    <cellStyle name="40% - Accent1 5" xfId="7553"/>
    <cellStyle name="40% - Accent1 5 2" xfId="8993"/>
    <cellStyle name="40% - Accent1 5 2 2" xfId="11684"/>
    <cellStyle name="40% - Accent1 5 2 3" xfId="10371"/>
    <cellStyle name="40% - Accent1 5 2_Note Calc" xfId="26793"/>
    <cellStyle name="40% - Accent1 5 3" xfId="10996"/>
    <cellStyle name="40% - Accent1 5 4" xfId="9683"/>
    <cellStyle name="40% - Accent1 5 5" xfId="13911"/>
    <cellStyle name="40% - Accent1 5_Forecast" xfId="22287"/>
    <cellStyle name="40% - Accent1 50" xfId="13912"/>
    <cellStyle name="40% - Accent1 51" xfId="13913"/>
    <cellStyle name="40% - Accent1 52" xfId="13914"/>
    <cellStyle name="40% - Accent1 53" xfId="13915"/>
    <cellStyle name="40% - Accent1 54" xfId="13916"/>
    <cellStyle name="40% - Accent1 55" xfId="13917"/>
    <cellStyle name="40% - Accent1 56" xfId="13918"/>
    <cellStyle name="40% - Accent1 57" xfId="13919"/>
    <cellStyle name="40% - Accent1 58" xfId="13920"/>
    <cellStyle name="40% - Accent1 59" xfId="13921"/>
    <cellStyle name="40% - Accent1 6" xfId="7554"/>
    <cellStyle name="40% - Accent1 6 2" xfId="8994"/>
    <cellStyle name="40% - Accent1 6 2 2" xfId="11685"/>
    <cellStyle name="40% - Accent1 6 2 3" xfId="10372"/>
    <cellStyle name="40% - Accent1 6 2_Note Calc" xfId="26794"/>
    <cellStyle name="40% - Accent1 6 3" xfId="10997"/>
    <cellStyle name="40% - Accent1 6 4" xfId="9684"/>
    <cellStyle name="40% - Accent1 6 5" xfId="13922"/>
    <cellStyle name="40% - Accent1 6_Forecast" xfId="22288"/>
    <cellStyle name="40% - Accent1 60" xfId="13923"/>
    <cellStyle name="40% - Accent1 61" xfId="13924"/>
    <cellStyle name="40% - Accent1 62" xfId="13925"/>
    <cellStyle name="40% - Accent1 63" xfId="13926"/>
    <cellStyle name="40% - Accent1 64" xfId="13927"/>
    <cellStyle name="40% - Accent1 65" xfId="13928"/>
    <cellStyle name="40% - Accent1 66" xfId="13929"/>
    <cellStyle name="40% - Accent1 67" xfId="13930"/>
    <cellStyle name="40% - Accent1 68" xfId="13931"/>
    <cellStyle name="40% - Accent1 69" xfId="13932"/>
    <cellStyle name="40% - Accent1 7" xfId="7555"/>
    <cellStyle name="40% - Accent1 7 2" xfId="8995"/>
    <cellStyle name="40% - Accent1 7 2 2" xfId="11686"/>
    <cellStyle name="40% - Accent1 7 2 3" xfId="10373"/>
    <cellStyle name="40% - Accent1 7 2_Note Calc" xfId="26795"/>
    <cellStyle name="40% - Accent1 7 3" xfId="10998"/>
    <cellStyle name="40% - Accent1 7 4" xfId="9685"/>
    <cellStyle name="40% - Accent1 7 5" xfId="13933"/>
    <cellStyle name="40% - Accent1 7_Forecast" xfId="22289"/>
    <cellStyle name="40% - Accent1 70" xfId="13934"/>
    <cellStyle name="40% - Accent1 71" xfId="13935"/>
    <cellStyle name="40% - Accent1 72" xfId="13936"/>
    <cellStyle name="40% - Accent1 73" xfId="13937"/>
    <cellStyle name="40% - Accent1 74" xfId="13938"/>
    <cellStyle name="40% - Accent1 75" xfId="13939"/>
    <cellStyle name="40% - Accent1 76" xfId="13940"/>
    <cellStyle name="40% - Accent1 77" xfId="13941"/>
    <cellStyle name="40% - Accent1 78" xfId="13942"/>
    <cellStyle name="40% - Accent1 79" xfId="13943"/>
    <cellStyle name="40% - Accent1 8" xfId="7556"/>
    <cellStyle name="40% - Accent1 8 2" xfId="8996"/>
    <cellStyle name="40% - Accent1 8 2 2" xfId="11687"/>
    <cellStyle name="40% - Accent1 8 2 3" xfId="10374"/>
    <cellStyle name="40% - Accent1 8 2_Note Calc" xfId="26796"/>
    <cellStyle name="40% - Accent1 8 3" xfId="10999"/>
    <cellStyle name="40% - Accent1 8 4" xfId="9686"/>
    <cellStyle name="40% - Accent1 8 5" xfId="13944"/>
    <cellStyle name="40% - Accent1 8_Forecast" xfId="22290"/>
    <cellStyle name="40% - Accent1 80" xfId="13945"/>
    <cellStyle name="40% - Accent1 81" xfId="13946"/>
    <cellStyle name="40% - Accent1 82" xfId="13947"/>
    <cellStyle name="40% - Accent1 83" xfId="13948"/>
    <cellStyle name="40% - Accent1 84" xfId="13949"/>
    <cellStyle name="40% - Accent1 85" xfId="13950"/>
    <cellStyle name="40% - Accent1 86" xfId="13951"/>
    <cellStyle name="40% - Accent1 87" xfId="13952"/>
    <cellStyle name="40% - Accent1 88" xfId="13953"/>
    <cellStyle name="40% - Accent1 89" xfId="13954"/>
    <cellStyle name="40% - Accent1 9" xfId="7557"/>
    <cellStyle name="40% - Accent1 9 2" xfId="8997"/>
    <cellStyle name="40% - Accent1 9 2 2" xfId="11688"/>
    <cellStyle name="40% - Accent1 9 2 3" xfId="10375"/>
    <cellStyle name="40% - Accent1 9 2_Note Calc" xfId="26797"/>
    <cellStyle name="40% - Accent1 9 3" xfId="11000"/>
    <cellStyle name="40% - Accent1 9 4" xfId="9687"/>
    <cellStyle name="40% - Accent1 9 5" xfId="13955"/>
    <cellStyle name="40% - Accent1 9_Forecast" xfId="22291"/>
    <cellStyle name="40% - Accent1 90" xfId="13956"/>
    <cellStyle name="40% - Accent1 91" xfId="13957"/>
    <cellStyle name="40% - Accent1 92" xfId="13958"/>
    <cellStyle name="40% - Accent1 93" xfId="13959"/>
    <cellStyle name="40% - Accent1 94" xfId="13960"/>
    <cellStyle name="40% - Accent1 95" xfId="13961"/>
    <cellStyle name="40% - Accent1 96" xfId="13962"/>
    <cellStyle name="40% - Accent1 97" xfId="13963"/>
    <cellStyle name="40% - Accent1 98" xfId="13964"/>
    <cellStyle name="40% - Accent1 99" xfId="13965"/>
    <cellStyle name="40% - Accent2" xfId="218" builtinId="35" customBuiltin="1"/>
    <cellStyle name="40% - Accent2 10" xfId="8783"/>
    <cellStyle name="40% - Accent2 10 2" xfId="11475"/>
    <cellStyle name="40% - Accent2 10 3" xfId="10162"/>
    <cellStyle name="40% - Accent2 10 4" xfId="13966"/>
    <cellStyle name="40% - Accent2 10_Note Calc" xfId="26798"/>
    <cellStyle name="40% - Accent2 100" xfId="13967"/>
    <cellStyle name="40% - Accent2 101" xfId="13968"/>
    <cellStyle name="40% - Accent2 102" xfId="13969"/>
    <cellStyle name="40% - Accent2 103" xfId="13970"/>
    <cellStyle name="40% - Accent2 104" xfId="13971"/>
    <cellStyle name="40% - Accent2 105" xfId="13972"/>
    <cellStyle name="40% - Accent2 106" xfId="13973"/>
    <cellStyle name="40% - Accent2 107" xfId="13974"/>
    <cellStyle name="40% - Accent2 108" xfId="13975"/>
    <cellStyle name="40% - Accent2 109" xfId="13976"/>
    <cellStyle name="40% - Accent2 11" xfId="10787"/>
    <cellStyle name="40% - Accent2 11 2" xfId="13977"/>
    <cellStyle name="40% - Accent2 11_Forecast" xfId="22292"/>
    <cellStyle name="40% - Accent2 110" xfId="13978"/>
    <cellStyle name="40% - Accent2 111" xfId="13979"/>
    <cellStyle name="40% - Accent2 112" xfId="13980"/>
    <cellStyle name="40% - Accent2 113" xfId="13981"/>
    <cellStyle name="40% - Accent2 114" xfId="13982"/>
    <cellStyle name="40% - Accent2 115" xfId="13983"/>
    <cellStyle name="40% - Accent2 116" xfId="13984"/>
    <cellStyle name="40% - Accent2 117" xfId="13985"/>
    <cellStyle name="40% - Accent2 118" xfId="13986"/>
    <cellStyle name="40% - Accent2 119" xfId="13987"/>
    <cellStyle name="40% - Accent2 12" xfId="9474"/>
    <cellStyle name="40% - Accent2 12 2" xfId="13988"/>
    <cellStyle name="40% - Accent2 12_Forecast" xfId="22293"/>
    <cellStyle name="40% - Accent2 120" xfId="13989"/>
    <cellStyle name="40% - Accent2 121" xfId="13990"/>
    <cellStyle name="40% - Accent2 122" xfId="13991"/>
    <cellStyle name="40% - Accent2 123" xfId="13992"/>
    <cellStyle name="40% - Accent2 124" xfId="13993"/>
    <cellStyle name="40% - Accent2 125" xfId="13994"/>
    <cellStyle name="40% - Accent2 126" xfId="13995"/>
    <cellStyle name="40% - Accent2 127" xfId="13996"/>
    <cellStyle name="40% - Accent2 128" xfId="13997"/>
    <cellStyle name="40% - Accent2 129" xfId="13998"/>
    <cellStyle name="40% - Accent2 13" xfId="12240"/>
    <cellStyle name="40% - Accent2 13 2" xfId="13999"/>
    <cellStyle name="40% - Accent2 13_Note Calc" xfId="26799"/>
    <cellStyle name="40% - Accent2 130" xfId="14000"/>
    <cellStyle name="40% - Accent2 131" xfId="14001"/>
    <cellStyle name="40% - Accent2 132" xfId="14002"/>
    <cellStyle name="40% - Accent2 133" xfId="14003"/>
    <cellStyle name="40% - Accent2 134" xfId="14004"/>
    <cellStyle name="40% - Accent2 135" xfId="14005"/>
    <cellStyle name="40% - Accent2 136" xfId="14006"/>
    <cellStyle name="40% - Accent2 137" xfId="14007"/>
    <cellStyle name="40% - Accent2 138" xfId="14008"/>
    <cellStyle name="40% - Accent2 139" xfId="14009"/>
    <cellStyle name="40% - Accent2 14" xfId="14010"/>
    <cellStyle name="40% - Accent2 140" xfId="14011"/>
    <cellStyle name="40% - Accent2 141" xfId="14012"/>
    <cellStyle name="40% - Accent2 142" xfId="14013"/>
    <cellStyle name="40% - Accent2 143" xfId="14014"/>
    <cellStyle name="40% - Accent2 144" xfId="14015"/>
    <cellStyle name="40% - Accent2 145" xfId="14016"/>
    <cellStyle name="40% - Accent2 146" xfId="14017"/>
    <cellStyle name="40% - Accent2 147" xfId="14018"/>
    <cellStyle name="40% - Accent2 148" xfId="14019"/>
    <cellStyle name="40% - Accent2 149" xfId="14020"/>
    <cellStyle name="40% - Accent2 15" xfId="14021"/>
    <cellStyle name="40% - Accent2 150" xfId="14022"/>
    <cellStyle name="40% - Accent2 151" xfId="14023"/>
    <cellStyle name="40% - Accent2 152" xfId="14024"/>
    <cellStyle name="40% - Accent2 153" xfId="14025"/>
    <cellStyle name="40% - Accent2 154" xfId="14026"/>
    <cellStyle name="40% - Accent2 155" xfId="14027"/>
    <cellStyle name="40% - Accent2 156" xfId="14028"/>
    <cellStyle name="40% - Accent2 157" xfId="14029"/>
    <cellStyle name="40% - Accent2 158" xfId="14030"/>
    <cellStyle name="40% - Accent2 159" xfId="14031"/>
    <cellStyle name="40% - Accent2 16" xfId="14032"/>
    <cellStyle name="40% - Accent2 160" xfId="14033"/>
    <cellStyle name="40% - Accent2 161" xfId="14034"/>
    <cellStyle name="40% - Accent2 162" xfId="14035"/>
    <cellStyle name="40% - Accent2 163" xfId="14036"/>
    <cellStyle name="40% - Accent2 163 2" xfId="21412"/>
    <cellStyle name="40% - Accent2 163 3" xfId="21413"/>
    <cellStyle name="40% - Accent2 163_Note Calc" xfId="26800"/>
    <cellStyle name="40% - Accent2 164" xfId="14037"/>
    <cellStyle name="40% - Accent2 165" xfId="14038"/>
    <cellStyle name="40% - Accent2 166" xfId="14039"/>
    <cellStyle name="40% - Accent2 167" xfId="14040"/>
    <cellStyle name="40% - Accent2 168" xfId="14041"/>
    <cellStyle name="40% - Accent2 169" xfId="14042"/>
    <cellStyle name="40% - Accent2 17" xfId="14043"/>
    <cellStyle name="40% - Accent2 170" xfId="14044"/>
    <cellStyle name="40% - Accent2 171" xfId="14045"/>
    <cellStyle name="40% - Accent2 172" xfId="14046"/>
    <cellStyle name="40% - Accent2 173" xfId="14047"/>
    <cellStyle name="40% - Accent2 174" xfId="14048"/>
    <cellStyle name="40% - Accent2 175" xfId="14049"/>
    <cellStyle name="40% - Accent2 176" xfId="14050"/>
    <cellStyle name="40% - Accent2 177" xfId="14051"/>
    <cellStyle name="40% - Accent2 178" xfId="14052"/>
    <cellStyle name="40% - Accent2 179" xfId="14053"/>
    <cellStyle name="40% - Accent2 18" xfId="14054"/>
    <cellStyle name="40% - Accent2 180" xfId="14055"/>
    <cellStyle name="40% - Accent2 181" xfId="14056"/>
    <cellStyle name="40% - Accent2 182" xfId="14057"/>
    <cellStyle name="40% - Accent2 183" xfId="14058"/>
    <cellStyle name="40% - Accent2 184" xfId="14059"/>
    <cellStyle name="40% - Accent2 185" xfId="14060"/>
    <cellStyle name="40% - Accent2 186" xfId="14061"/>
    <cellStyle name="40% - Accent2 187" xfId="14062"/>
    <cellStyle name="40% - Accent2 188" xfId="14063"/>
    <cellStyle name="40% - Accent2 189" xfId="14064"/>
    <cellStyle name="40% - Accent2 19" xfId="14065"/>
    <cellStyle name="40% - Accent2 190" xfId="14066"/>
    <cellStyle name="40% - Accent2 191" xfId="14067"/>
    <cellStyle name="40% - Accent2 192" xfId="14068"/>
    <cellStyle name="40% - Accent2 193" xfId="14069"/>
    <cellStyle name="40% - Accent2 194" xfId="14070"/>
    <cellStyle name="40% - Accent2 195" xfId="14071"/>
    <cellStyle name="40% - Accent2 196" xfId="14072"/>
    <cellStyle name="40% - Accent2 197" xfId="14073"/>
    <cellStyle name="40% - Accent2 198" xfId="14074"/>
    <cellStyle name="40% - Accent2 199" xfId="14075"/>
    <cellStyle name="40% - Accent2 2" xfId="219"/>
    <cellStyle name="40% - Accent2 2 10" xfId="220"/>
    <cellStyle name="40% - Accent2 2 11" xfId="221"/>
    <cellStyle name="40% - Accent2 2 12" xfId="222"/>
    <cellStyle name="40% - Accent2 2 13" xfId="223"/>
    <cellStyle name="40% - Accent2 2 14" xfId="224"/>
    <cellStyle name="40% - Accent2 2 15" xfId="225"/>
    <cellStyle name="40% - Accent2 2 16" xfId="226"/>
    <cellStyle name="40% - Accent2 2 17" xfId="227"/>
    <cellStyle name="40% - Accent2 2 18" xfId="228"/>
    <cellStyle name="40% - Accent2 2 19" xfId="229"/>
    <cellStyle name="40% - Accent2 2 2" xfId="230"/>
    <cellStyle name="40% - Accent2 2 2 2" xfId="7559"/>
    <cellStyle name="40% - Accent2 2 2 2 2" xfId="8999"/>
    <cellStyle name="40% - Accent2 2 2 2 2 2" xfId="11690"/>
    <cellStyle name="40% - Accent2 2 2 2 2 3" xfId="10377"/>
    <cellStyle name="40% - Accent2 2 2 2 2_Note Calc" xfId="26801"/>
    <cellStyle name="40% - Accent2 2 2 2 3" xfId="11002"/>
    <cellStyle name="40% - Accent2 2 2 2 4" xfId="9689"/>
    <cellStyle name="40% - Accent2 2 2 2_Forecast" xfId="22294"/>
    <cellStyle name="40% - Accent2 2 2 3" xfId="8245"/>
    <cellStyle name="40% - Accent2 2 2 3 2" xfId="9197"/>
    <cellStyle name="40% - Accent2 2 2 3 2 2" xfId="11888"/>
    <cellStyle name="40% - Accent2 2 2 3 2 3" xfId="10575"/>
    <cellStyle name="40% - Accent2 2 2 3 2_Note Calc" xfId="26802"/>
    <cellStyle name="40% - Accent2 2 2 3 3" xfId="11200"/>
    <cellStyle name="40% - Accent2 2 2 3 4" xfId="9887"/>
    <cellStyle name="40% - Accent2 2 2 3_Forecast" xfId="22295"/>
    <cellStyle name="40% - Accent2 2 2 4" xfId="8353"/>
    <cellStyle name="40% - Accent2 2 2 4 2" xfId="9274"/>
    <cellStyle name="40% - Accent2 2 2 4 2 2" xfId="11965"/>
    <cellStyle name="40% - Accent2 2 2 4 2 3" xfId="10652"/>
    <cellStyle name="40% - Accent2 2 2 4 2_Note Calc" xfId="26803"/>
    <cellStyle name="40% - Accent2 2 2 4 3" xfId="11277"/>
    <cellStyle name="40% - Accent2 2 2 4 4" xfId="9964"/>
    <cellStyle name="40% - Accent2 2 2 4_Forecast" xfId="22296"/>
    <cellStyle name="40% - Accent2 2 2 5" xfId="21414"/>
    <cellStyle name="40% - Accent2 2 2_Prior-CSV" xfId="27899"/>
    <cellStyle name="40% - Accent2 2 20" xfId="231"/>
    <cellStyle name="40% - Accent2 2 21" xfId="232"/>
    <cellStyle name="40% - Accent2 2 22" xfId="233"/>
    <cellStyle name="40% - Accent2 2 23" xfId="234"/>
    <cellStyle name="40% - Accent2 2 24" xfId="235"/>
    <cellStyle name="40% - Accent2 2 25" xfId="236"/>
    <cellStyle name="40% - Accent2 2 26" xfId="237"/>
    <cellStyle name="40% - Accent2 2 27" xfId="238"/>
    <cellStyle name="40% - Accent2 2 28" xfId="239"/>
    <cellStyle name="40% - Accent2 2 29" xfId="240"/>
    <cellStyle name="40% - Accent2 2 3" xfId="241"/>
    <cellStyle name="40% - Accent2 2 3 2" xfId="7560"/>
    <cellStyle name="40% - Accent2 2 3 2 2" xfId="9000"/>
    <cellStyle name="40% - Accent2 2 3 2 2 2" xfId="11691"/>
    <cellStyle name="40% - Accent2 2 3 2 2 3" xfId="10378"/>
    <cellStyle name="40% - Accent2 2 3 2 2_Note Calc" xfId="26804"/>
    <cellStyle name="40% - Accent2 2 3 2 3" xfId="11003"/>
    <cellStyle name="40% - Accent2 2 3 2 4" xfId="9690"/>
    <cellStyle name="40% - Accent2 2 3 2_Forecast" xfId="22297"/>
    <cellStyle name="40% - Accent2 2 3 3" xfId="8246"/>
    <cellStyle name="40% - Accent2 2 3 3 2" xfId="9198"/>
    <cellStyle name="40% - Accent2 2 3 3 2 2" xfId="11889"/>
    <cellStyle name="40% - Accent2 2 3 3 2 3" xfId="10576"/>
    <cellStyle name="40% - Accent2 2 3 3 2_Note Calc" xfId="26805"/>
    <cellStyle name="40% - Accent2 2 3 3 3" xfId="11201"/>
    <cellStyle name="40% - Accent2 2 3 3 4" xfId="9888"/>
    <cellStyle name="40% - Accent2 2 3 3_Forecast" xfId="22298"/>
    <cellStyle name="40% - Accent2 2 3 4" xfId="8352"/>
    <cellStyle name="40% - Accent2 2 3 4 2" xfId="9273"/>
    <cellStyle name="40% - Accent2 2 3 4 2 2" xfId="11964"/>
    <cellStyle name="40% - Accent2 2 3 4 2 3" xfId="10651"/>
    <cellStyle name="40% - Accent2 2 3 4 2_Note Calc" xfId="26806"/>
    <cellStyle name="40% - Accent2 2 3 4 3" xfId="11276"/>
    <cellStyle name="40% - Accent2 2 3 4 4" xfId="9963"/>
    <cellStyle name="40% - Accent2 2 3 4_Forecast" xfId="22299"/>
    <cellStyle name="40% - Accent2 2 3 5" xfId="21415"/>
    <cellStyle name="40% - Accent2 2 3_Prior-CSV" xfId="27900"/>
    <cellStyle name="40% - Accent2 2 30" xfId="242"/>
    <cellStyle name="40% - Accent2 2 31" xfId="7558"/>
    <cellStyle name="40% - Accent2 2 31 2" xfId="8998"/>
    <cellStyle name="40% - Accent2 2 31 2 2" xfId="11689"/>
    <cellStyle name="40% - Accent2 2 31 2 3" xfId="10376"/>
    <cellStyle name="40% - Accent2 2 31 2_Note Calc" xfId="26807"/>
    <cellStyle name="40% - Accent2 2 31 3" xfId="11001"/>
    <cellStyle name="40% - Accent2 2 31 4" xfId="9688"/>
    <cellStyle name="40% - Accent2 2 31_Forecast" xfId="22300"/>
    <cellStyle name="40% - Accent2 2 32" xfId="8244"/>
    <cellStyle name="40% - Accent2 2 32 2" xfId="9196"/>
    <cellStyle name="40% - Accent2 2 32 2 2" xfId="11887"/>
    <cellStyle name="40% - Accent2 2 32 2 3" xfId="10574"/>
    <cellStyle name="40% - Accent2 2 32 2_Note Calc" xfId="26808"/>
    <cellStyle name="40% - Accent2 2 32 3" xfId="11199"/>
    <cellStyle name="40% - Accent2 2 32 4" xfId="9886"/>
    <cellStyle name="40% - Accent2 2 32_Forecast" xfId="22301"/>
    <cellStyle name="40% - Accent2 2 33" xfId="8354"/>
    <cellStyle name="40% - Accent2 2 33 2" xfId="9275"/>
    <cellStyle name="40% - Accent2 2 33 2 2" xfId="11966"/>
    <cellStyle name="40% - Accent2 2 33 2 3" xfId="10653"/>
    <cellStyle name="40% - Accent2 2 33 2_Note Calc" xfId="26809"/>
    <cellStyle name="40% - Accent2 2 33 3" xfId="11278"/>
    <cellStyle name="40% - Accent2 2 33 4" xfId="9965"/>
    <cellStyle name="40% - Accent2 2 33_Forecast" xfId="22302"/>
    <cellStyle name="40% - Accent2 2 34" xfId="12106"/>
    <cellStyle name="40% - Accent2 2 35" xfId="14076"/>
    <cellStyle name="40% - Accent2 2 36" xfId="26810"/>
    <cellStyle name="40% - Accent2 2 4" xfId="243"/>
    <cellStyle name="40% - Accent2 2 4 2" xfId="7561"/>
    <cellStyle name="40% - Accent2 2 4 2 2" xfId="9001"/>
    <cellStyle name="40% - Accent2 2 4 2 2 2" xfId="11692"/>
    <cellStyle name="40% - Accent2 2 4 2 2 3" xfId="10379"/>
    <cellStyle name="40% - Accent2 2 4 2 2_Note Calc" xfId="26811"/>
    <cellStyle name="40% - Accent2 2 4 2 3" xfId="11004"/>
    <cellStyle name="40% - Accent2 2 4 2 4" xfId="9691"/>
    <cellStyle name="40% - Accent2 2 4 2_Forecast" xfId="22303"/>
    <cellStyle name="40% - Accent2 2 4 3" xfId="8247"/>
    <cellStyle name="40% - Accent2 2 4 3 2" xfId="9199"/>
    <cellStyle name="40% - Accent2 2 4 3 2 2" xfId="11890"/>
    <cellStyle name="40% - Accent2 2 4 3 2 3" xfId="10577"/>
    <cellStyle name="40% - Accent2 2 4 3 2_Note Calc" xfId="26812"/>
    <cellStyle name="40% - Accent2 2 4 3 3" xfId="11202"/>
    <cellStyle name="40% - Accent2 2 4 3 4" xfId="9889"/>
    <cellStyle name="40% - Accent2 2 4 3_Forecast" xfId="22304"/>
    <cellStyle name="40% - Accent2 2 4 4" xfId="8351"/>
    <cellStyle name="40% - Accent2 2 4 4 2" xfId="9272"/>
    <cellStyle name="40% - Accent2 2 4 4 2 2" xfId="11963"/>
    <cellStyle name="40% - Accent2 2 4 4 2 3" xfId="10650"/>
    <cellStyle name="40% - Accent2 2 4 4 2_Note Calc" xfId="26813"/>
    <cellStyle name="40% - Accent2 2 4 4 3" xfId="11275"/>
    <cellStyle name="40% - Accent2 2 4 4 4" xfId="9962"/>
    <cellStyle name="40% - Accent2 2 4 4_Forecast" xfId="22305"/>
    <cellStyle name="40% - Accent2 2 4 5" xfId="21416"/>
    <cellStyle name="40% - Accent2 2 4_Prior-CSV" xfId="27901"/>
    <cellStyle name="40% - Accent2 2 5" xfId="244"/>
    <cellStyle name="40% - Accent2 2 5 2" xfId="7562"/>
    <cellStyle name="40% - Accent2 2 5 2 2" xfId="9002"/>
    <cellStyle name="40% - Accent2 2 5 2 2 2" xfId="11693"/>
    <cellStyle name="40% - Accent2 2 5 2 2 3" xfId="10380"/>
    <cellStyle name="40% - Accent2 2 5 2 2_Note Calc" xfId="26814"/>
    <cellStyle name="40% - Accent2 2 5 2 3" xfId="11005"/>
    <cellStyle name="40% - Accent2 2 5 2 4" xfId="9692"/>
    <cellStyle name="40% - Accent2 2 5 2_Forecast" xfId="22306"/>
    <cellStyle name="40% - Accent2 2 5 3" xfId="8248"/>
    <cellStyle name="40% - Accent2 2 5 3 2" xfId="9200"/>
    <cellStyle name="40% - Accent2 2 5 3 2 2" xfId="11891"/>
    <cellStyle name="40% - Accent2 2 5 3 2 3" xfId="10578"/>
    <cellStyle name="40% - Accent2 2 5 3 2_Note Calc" xfId="26815"/>
    <cellStyle name="40% - Accent2 2 5 3 3" xfId="11203"/>
    <cellStyle name="40% - Accent2 2 5 3 4" xfId="9890"/>
    <cellStyle name="40% - Accent2 2 5 3_Forecast" xfId="22307"/>
    <cellStyle name="40% - Accent2 2 5 4" xfId="8350"/>
    <cellStyle name="40% - Accent2 2 5 4 2" xfId="9271"/>
    <cellStyle name="40% - Accent2 2 5 4 2 2" xfId="11962"/>
    <cellStyle name="40% - Accent2 2 5 4 2 3" xfId="10649"/>
    <cellStyle name="40% - Accent2 2 5 4 2_Note Calc" xfId="26816"/>
    <cellStyle name="40% - Accent2 2 5 4 3" xfId="11274"/>
    <cellStyle name="40% - Accent2 2 5 4 4" xfId="9961"/>
    <cellStyle name="40% - Accent2 2 5 4_Forecast" xfId="22308"/>
    <cellStyle name="40% - Accent2 2 5_Prior-CSV" xfId="27902"/>
    <cellStyle name="40% - Accent2 2 6" xfId="245"/>
    <cellStyle name="40% - Accent2 2 6 2" xfId="7563"/>
    <cellStyle name="40% - Accent2 2 6 2 2" xfId="9003"/>
    <cellStyle name="40% - Accent2 2 6 2 2 2" xfId="11694"/>
    <cellStyle name="40% - Accent2 2 6 2 2 3" xfId="10381"/>
    <cellStyle name="40% - Accent2 2 6 2 2_Note Calc" xfId="26818"/>
    <cellStyle name="40% - Accent2 2 6 2 3" xfId="11006"/>
    <cellStyle name="40% - Accent2 2 6 2 4" xfId="9693"/>
    <cellStyle name="40% - Accent2 2 6 2_Forecast" xfId="22309"/>
    <cellStyle name="40% - Accent2 2 6 3" xfId="8249"/>
    <cellStyle name="40% - Accent2 2 6 3 2" xfId="9201"/>
    <cellStyle name="40% - Accent2 2 6 3 2 2" xfId="11892"/>
    <cellStyle name="40% - Accent2 2 6 3 2 3" xfId="10579"/>
    <cellStyle name="40% - Accent2 2 6 3 2_Note Calc" xfId="26819"/>
    <cellStyle name="40% - Accent2 2 6 3 3" xfId="11204"/>
    <cellStyle name="40% - Accent2 2 6 3 4" xfId="9891"/>
    <cellStyle name="40% - Accent2 2 6 3_Forecast" xfId="22310"/>
    <cellStyle name="40% - Accent2 2 6 4" xfId="8349"/>
    <cellStyle name="40% - Accent2 2 6 4 2" xfId="9270"/>
    <cellStyle name="40% - Accent2 2 6 4 2 2" xfId="11961"/>
    <cellStyle name="40% - Accent2 2 6 4 2 3" xfId="10648"/>
    <cellStyle name="40% - Accent2 2 6 4 2_Note Calc" xfId="26820"/>
    <cellStyle name="40% - Accent2 2 6 4 3" xfId="11273"/>
    <cellStyle name="40% - Accent2 2 6 4 4" xfId="9960"/>
    <cellStyle name="40% - Accent2 2 6 4_Forecast" xfId="22311"/>
    <cellStyle name="40% - Accent2 2 6_Note Calc" xfId="26817"/>
    <cellStyle name="40% - Accent2 2 7" xfId="246"/>
    <cellStyle name="40% - Accent2 2 7 2" xfId="7564"/>
    <cellStyle name="40% - Accent2 2 7 2 2" xfId="9004"/>
    <cellStyle name="40% - Accent2 2 7 2 2 2" xfId="11695"/>
    <cellStyle name="40% - Accent2 2 7 2 2 3" xfId="10382"/>
    <cellStyle name="40% - Accent2 2 7 2 2_Note Calc" xfId="26822"/>
    <cellStyle name="40% - Accent2 2 7 2 3" xfId="11007"/>
    <cellStyle name="40% - Accent2 2 7 2 4" xfId="9694"/>
    <cellStyle name="40% - Accent2 2 7 2_Forecast" xfId="22312"/>
    <cellStyle name="40% - Accent2 2 7 3" xfId="8250"/>
    <cellStyle name="40% - Accent2 2 7 3 2" xfId="9202"/>
    <cellStyle name="40% - Accent2 2 7 3 2 2" xfId="11893"/>
    <cellStyle name="40% - Accent2 2 7 3 2 3" xfId="10580"/>
    <cellStyle name="40% - Accent2 2 7 3 2_Note Calc" xfId="26823"/>
    <cellStyle name="40% - Accent2 2 7 3 3" xfId="11205"/>
    <cellStyle name="40% - Accent2 2 7 3 4" xfId="9892"/>
    <cellStyle name="40% - Accent2 2 7 3_Forecast" xfId="22313"/>
    <cellStyle name="40% - Accent2 2 7 4" xfId="8348"/>
    <cellStyle name="40% - Accent2 2 7 4 2" xfId="9269"/>
    <cellStyle name="40% - Accent2 2 7 4 2 2" xfId="11960"/>
    <cellStyle name="40% - Accent2 2 7 4 2 3" xfId="10647"/>
    <cellStyle name="40% - Accent2 2 7 4 2_Note Calc" xfId="26824"/>
    <cellStyle name="40% - Accent2 2 7 4 3" xfId="11272"/>
    <cellStyle name="40% - Accent2 2 7 4 4" xfId="9959"/>
    <cellStyle name="40% - Accent2 2 7 4_Forecast" xfId="22314"/>
    <cellStyle name="40% - Accent2 2 7_Note Calc" xfId="26821"/>
    <cellStyle name="40% - Accent2 2 8" xfId="247"/>
    <cellStyle name="40% - Accent2 2 9" xfId="248"/>
    <cellStyle name="40% - Accent2 2_Forecast" xfId="22315"/>
    <cellStyle name="40% - Accent2 20" xfId="14077"/>
    <cellStyle name="40% - Accent2 200" xfId="14078"/>
    <cellStyle name="40% - Accent2 201" xfId="14079"/>
    <cellStyle name="40% - Accent2 202" xfId="14080"/>
    <cellStyle name="40% - Accent2 203" xfId="14081"/>
    <cellStyle name="40% - Accent2 204" xfId="14082"/>
    <cellStyle name="40% - Accent2 205" xfId="14083"/>
    <cellStyle name="40% - Accent2 206" xfId="14084"/>
    <cellStyle name="40% - Accent2 207" xfId="14085"/>
    <cellStyle name="40% - Accent2 208" xfId="14086"/>
    <cellStyle name="40% - Accent2 209" xfId="14087"/>
    <cellStyle name="40% - Accent2 21" xfId="14088"/>
    <cellStyle name="40% - Accent2 210" xfId="14089"/>
    <cellStyle name="40% - Accent2 211" xfId="14090"/>
    <cellStyle name="40% - Accent2 212" xfId="14091"/>
    <cellStyle name="40% - Accent2 213" xfId="14092"/>
    <cellStyle name="40% - Accent2 214" xfId="14093"/>
    <cellStyle name="40% - Accent2 215" xfId="14094"/>
    <cellStyle name="40% - Accent2 216" xfId="14095"/>
    <cellStyle name="40% - Accent2 217" xfId="14096"/>
    <cellStyle name="40% - Accent2 218" xfId="14097"/>
    <cellStyle name="40% - Accent2 219" xfId="14098"/>
    <cellStyle name="40% - Accent2 22" xfId="14099"/>
    <cellStyle name="40% - Accent2 220" xfId="14100"/>
    <cellStyle name="40% - Accent2 221" xfId="14101"/>
    <cellStyle name="40% - Accent2 222" xfId="14102"/>
    <cellStyle name="40% - Accent2 223" xfId="14103"/>
    <cellStyle name="40% - Accent2 224" xfId="14104"/>
    <cellStyle name="40% - Accent2 225" xfId="14105"/>
    <cellStyle name="40% - Accent2 226" xfId="14106"/>
    <cellStyle name="40% - Accent2 227" xfId="14107"/>
    <cellStyle name="40% - Accent2 228" xfId="14108"/>
    <cellStyle name="40% - Accent2 229" xfId="14109"/>
    <cellStyle name="40% - Accent2 23" xfId="14110"/>
    <cellStyle name="40% - Accent2 230" xfId="14111"/>
    <cellStyle name="40% - Accent2 231" xfId="14112"/>
    <cellStyle name="40% - Accent2 232" xfId="14113"/>
    <cellStyle name="40% - Accent2 233" xfId="14114"/>
    <cellStyle name="40% - Accent2 234" xfId="14115"/>
    <cellStyle name="40% - Accent2 235" xfId="14116"/>
    <cellStyle name="40% - Accent2 236" xfId="14117"/>
    <cellStyle name="40% - Accent2 237" xfId="14118"/>
    <cellStyle name="40% - Accent2 238" xfId="14119"/>
    <cellStyle name="40% - Accent2 239" xfId="14120"/>
    <cellStyle name="40% - Accent2 24" xfId="14121"/>
    <cellStyle name="40% - Accent2 240" xfId="14122"/>
    <cellStyle name="40% - Accent2 241" xfId="14123"/>
    <cellStyle name="40% - Accent2 242" xfId="14124"/>
    <cellStyle name="40% - Accent2 243" xfId="14125"/>
    <cellStyle name="40% - Accent2 244" xfId="14126"/>
    <cellStyle name="40% - Accent2 245" xfId="21417"/>
    <cellStyle name="40% - Accent2 246" xfId="21418"/>
    <cellStyle name="40% - Accent2 247" xfId="21419"/>
    <cellStyle name="40% - Accent2 248" xfId="21420"/>
    <cellStyle name="40% - Accent2 249" xfId="21421"/>
    <cellStyle name="40% - Accent2 25" xfId="14127"/>
    <cellStyle name="40% - Accent2 250" xfId="21422"/>
    <cellStyle name="40% - Accent2 251" xfId="21423"/>
    <cellStyle name="40% - Accent2 252" xfId="21424"/>
    <cellStyle name="40% - Accent2 253" xfId="21425"/>
    <cellStyle name="40% - Accent2 254" xfId="21426"/>
    <cellStyle name="40% - Accent2 255" xfId="21427"/>
    <cellStyle name="40% - Accent2 256" xfId="21428"/>
    <cellStyle name="40% - Accent2 257" xfId="21429"/>
    <cellStyle name="40% - Accent2 258" xfId="21804"/>
    <cellStyle name="40% - Accent2 259" xfId="21805"/>
    <cellStyle name="40% - Accent2 26" xfId="14128"/>
    <cellStyle name="40% - Accent2 260" xfId="21806"/>
    <cellStyle name="40% - Accent2 261" xfId="21807"/>
    <cellStyle name="40% - Accent2 262" xfId="21728"/>
    <cellStyle name="40% - Accent2 263" xfId="21971"/>
    <cellStyle name="40% - Accent2 264" xfId="21897"/>
    <cellStyle name="40% - Accent2 265" xfId="26825"/>
    <cellStyle name="40% - Accent2 27" xfId="14129"/>
    <cellStyle name="40% - Accent2 28" xfId="14130"/>
    <cellStyle name="40% - Accent2 29" xfId="14131"/>
    <cellStyle name="40% - Accent2 3" xfId="7413"/>
    <cellStyle name="40% - Accent2 3 10" xfId="8855"/>
    <cellStyle name="40% - Accent2 3 10 2" xfId="11546"/>
    <cellStyle name="40% - Accent2 3 10 3" xfId="10233"/>
    <cellStyle name="40% - Accent2 3 10_Note Calc" xfId="26826"/>
    <cellStyle name="40% - Accent2 3 11" xfId="10858"/>
    <cellStyle name="40% - Accent2 3 12" xfId="9545"/>
    <cellStyle name="40% - Accent2 3 12 2" xfId="22316"/>
    <cellStyle name="40% - Accent2 3 12_Forecast" xfId="22317"/>
    <cellStyle name="40% - Accent2 3 13" xfId="14132"/>
    <cellStyle name="40% - Accent2 3 14" xfId="22318"/>
    <cellStyle name="40% - Accent2 3 2" xfId="7565"/>
    <cellStyle name="40% - Accent2 3 2 2" xfId="9005"/>
    <cellStyle name="40% - Accent2 3 2 2 2" xfId="11696"/>
    <cellStyle name="40% - Accent2 3 2 2 3" xfId="10383"/>
    <cellStyle name="40% - Accent2 3 2 2_Note Calc" xfId="26827"/>
    <cellStyle name="40% - Accent2 3 2 3" xfId="11008"/>
    <cellStyle name="40% - Accent2 3 2 4" xfId="9695"/>
    <cellStyle name="40% - Accent2 3 2_Forecast" xfId="22319"/>
    <cellStyle name="40% - Accent2 3 3" xfId="7567"/>
    <cellStyle name="40% - Accent2 3 3 2" xfId="9006"/>
    <cellStyle name="40% - Accent2 3 3 2 2" xfId="11697"/>
    <cellStyle name="40% - Accent2 3 3 2 3" xfId="10384"/>
    <cellStyle name="40% - Accent2 3 3 2_Note Calc" xfId="26828"/>
    <cellStyle name="40% - Accent2 3 3 3" xfId="11009"/>
    <cellStyle name="40% - Accent2 3 3 4" xfId="9696"/>
    <cellStyle name="40% - Accent2 3 3_Forecast" xfId="22320"/>
    <cellStyle name="40% - Accent2 3 4" xfId="7568"/>
    <cellStyle name="40% - Accent2 3 4 2" xfId="9007"/>
    <cellStyle name="40% - Accent2 3 4 2 2" xfId="11698"/>
    <cellStyle name="40% - Accent2 3 4 2 3" xfId="10385"/>
    <cellStyle name="40% - Accent2 3 4 2_Note Calc" xfId="26829"/>
    <cellStyle name="40% - Accent2 3 4 3" xfId="11010"/>
    <cellStyle name="40% - Accent2 3 4 4" xfId="9697"/>
    <cellStyle name="40% - Accent2 3 4_Forecast" xfId="22321"/>
    <cellStyle name="40% - Accent2 3 5" xfId="7569"/>
    <cellStyle name="40% - Accent2 3 5 2" xfId="9008"/>
    <cellStyle name="40% - Accent2 3 5 2 2" xfId="11699"/>
    <cellStyle name="40% - Accent2 3 5 2 3" xfId="10386"/>
    <cellStyle name="40% - Accent2 3 5 2_Note Calc" xfId="26830"/>
    <cellStyle name="40% - Accent2 3 5 3" xfId="11011"/>
    <cellStyle name="40% - Accent2 3 5 4" xfId="9698"/>
    <cellStyle name="40% - Accent2 3 5_Forecast" xfId="22322"/>
    <cellStyle name="40% - Accent2 3 6" xfId="7570"/>
    <cellStyle name="40% - Accent2 3 6 2" xfId="9009"/>
    <cellStyle name="40% - Accent2 3 6 2 2" xfId="11700"/>
    <cellStyle name="40% - Accent2 3 6 2 3" xfId="10387"/>
    <cellStyle name="40% - Accent2 3 6 2_Note Calc" xfId="26831"/>
    <cellStyle name="40% - Accent2 3 6 3" xfId="11012"/>
    <cellStyle name="40% - Accent2 3 6 4" xfId="9699"/>
    <cellStyle name="40% - Accent2 3 6_Forecast" xfId="22323"/>
    <cellStyle name="40% - Accent2 3 7" xfId="7571"/>
    <cellStyle name="40% - Accent2 3 7 2" xfId="9010"/>
    <cellStyle name="40% - Accent2 3 7 2 2" xfId="11701"/>
    <cellStyle name="40% - Accent2 3 7 2 3" xfId="10388"/>
    <cellStyle name="40% - Accent2 3 7 2_Note Calc" xfId="26832"/>
    <cellStyle name="40% - Accent2 3 7 3" xfId="11013"/>
    <cellStyle name="40% - Accent2 3 7 4" xfId="9700"/>
    <cellStyle name="40% - Accent2 3 7_Forecast" xfId="22324"/>
    <cellStyle name="40% - Accent2 3 8" xfId="8251"/>
    <cellStyle name="40% - Accent2 3 8 2" xfId="9203"/>
    <cellStyle name="40% - Accent2 3 8 2 2" xfId="11894"/>
    <cellStyle name="40% - Accent2 3 8 2 3" xfId="10581"/>
    <cellStyle name="40% - Accent2 3 8 2_Note Calc" xfId="26833"/>
    <cellStyle name="40% - Accent2 3 8 3" xfId="11206"/>
    <cellStyle name="40% - Accent2 3 8 4" xfId="9893"/>
    <cellStyle name="40% - Accent2 3 8_Forecast" xfId="22325"/>
    <cellStyle name="40% - Accent2 3 9" xfId="8347"/>
    <cellStyle name="40% - Accent2 3 9 2" xfId="9268"/>
    <cellStyle name="40% - Accent2 3 9 2 2" xfId="11959"/>
    <cellStyle name="40% - Accent2 3 9 2 3" xfId="10646"/>
    <cellStyle name="40% - Accent2 3 9 2_Note Calc" xfId="26834"/>
    <cellStyle name="40% - Accent2 3 9 3" xfId="11271"/>
    <cellStyle name="40% - Accent2 3 9 4" xfId="9958"/>
    <cellStyle name="40% - Accent2 3 9_Forecast" xfId="22326"/>
    <cellStyle name="40% - Accent2 3_Forecast" xfId="22327"/>
    <cellStyle name="40% - Accent2 30" xfId="14133"/>
    <cellStyle name="40% - Accent2 31" xfId="14134"/>
    <cellStyle name="40% - Accent2 32" xfId="14135"/>
    <cellStyle name="40% - Accent2 33" xfId="14136"/>
    <cellStyle name="40% - Accent2 34" xfId="14137"/>
    <cellStyle name="40% - Accent2 35" xfId="14138"/>
    <cellStyle name="40% - Accent2 36" xfId="14139"/>
    <cellStyle name="40% - Accent2 37" xfId="14140"/>
    <cellStyle name="40% - Accent2 38" xfId="14141"/>
    <cellStyle name="40% - Accent2 39" xfId="14142"/>
    <cellStyle name="40% - Accent2 4" xfId="7572"/>
    <cellStyle name="40% - Accent2 4 2" xfId="9011"/>
    <cellStyle name="40% - Accent2 4 2 2" xfId="11702"/>
    <cellStyle name="40% - Accent2 4 2 3" xfId="10389"/>
    <cellStyle name="40% - Accent2 4 2_Note Calc" xfId="26835"/>
    <cellStyle name="40% - Accent2 4 3" xfId="11014"/>
    <cellStyle name="40% - Accent2 4 4" xfId="9701"/>
    <cellStyle name="40% - Accent2 4 5" xfId="14143"/>
    <cellStyle name="40% - Accent2 4_Forecast" xfId="22328"/>
    <cellStyle name="40% - Accent2 40" xfId="14144"/>
    <cellStyle name="40% - Accent2 41" xfId="14145"/>
    <cellStyle name="40% - Accent2 42" xfId="14146"/>
    <cellStyle name="40% - Accent2 43" xfId="14147"/>
    <cellStyle name="40% - Accent2 44" xfId="14148"/>
    <cellStyle name="40% - Accent2 45" xfId="14149"/>
    <cellStyle name="40% - Accent2 46" xfId="14150"/>
    <cellStyle name="40% - Accent2 47" xfId="14151"/>
    <cellStyle name="40% - Accent2 48" xfId="14152"/>
    <cellStyle name="40% - Accent2 49" xfId="14153"/>
    <cellStyle name="40% - Accent2 5" xfId="7573"/>
    <cellStyle name="40% - Accent2 5 2" xfId="9012"/>
    <cellStyle name="40% - Accent2 5 2 2" xfId="11703"/>
    <cellStyle name="40% - Accent2 5 2 3" xfId="10390"/>
    <cellStyle name="40% - Accent2 5 2_Note Calc" xfId="26836"/>
    <cellStyle name="40% - Accent2 5 3" xfId="11015"/>
    <cellStyle name="40% - Accent2 5 4" xfId="9702"/>
    <cellStyle name="40% - Accent2 5 5" xfId="14154"/>
    <cellStyle name="40% - Accent2 5_Forecast" xfId="22329"/>
    <cellStyle name="40% - Accent2 50" xfId="14155"/>
    <cellStyle name="40% - Accent2 51" xfId="14156"/>
    <cellStyle name="40% - Accent2 52" xfId="14157"/>
    <cellStyle name="40% - Accent2 53" xfId="14158"/>
    <cellStyle name="40% - Accent2 54" xfId="14159"/>
    <cellStyle name="40% - Accent2 55" xfId="14160"/>
    <cellStyle name="40% - Accent2 56" xfId="14161"/>
    <cellStyle name="40% - Accent2 57" xfId="14162"/>
    <cellStyle name="40% - Accent2 58" xfId="14163"/>
    <cellStyle name="40% - Accent2 59" xfId="14164"/>
    <cellStyle name="40% - Accent2 6" xfId="7574"/>
    <cellStyle name="40% - Accent2 6 2" xfId="9013"/>
    <cellStyle name="40% - Accent2 6 2 2" xfId="11704"/>
    <cellStyle name="40% - Accent2 6 2 3" xfId="10391"/>
    <cellStyle name="40% - Accent2 6 2_Note Calc" xfId="26837"/>
    <cellStyle name="40% - Accent2 6 3" xfId="11016"/>
    <cellStyle name="40% - Accent2 6 4" xfId="9703"/>
    <cellStyle name="40% - Accent2 6 5" xfId="14165"/>
    <cellStyle name="40% - Accent2 6_Forecast" xfId="22330"/>
    <cellStyle name="40% - Accent2 60" xfId="14166"/>
    <cellStyle name="40% - Accent2 61" xfId="14167"/>
    <cellStyle name="40% - Accent2 62" xfId="14168"/>
    <cellStyle name="40% - Accent2 63" xfId="14169"/>
    <cellStyle name="40% - Accent2 64" xfId="14170"/>
    <cellStyle name="40% - Accent2 65" xfId="14171"/>
    <cellStyle name="40% - Accent2 66" xfId="14172"/>
    <cellStyle name="40% - Accent2 67" xfId="14173"/>
    <cellStyle name="40% - Accent2 68" xfId="14174"/>
    <cellStyle name="40% - Accent2 69" xfId="14175"/>
    <cellStyle name="40% - Accent2 7" xfId="7575"/>
    <cellStyle name="40% - Accent2 7 2" xfId="9014"/>
    <cellStyle name="40% - Accent2 7 2 2" xfId="11705"/>
    <cellStyle name="40% - Accent2 7 2 3" xfId="10392"/>
    <cellStyle name="40% - Accent2 7 2_Note Calc" xfId="26838"/>
    <cellStyle name="40% - Accent2 7 3" xfId="11017"/>
    <cellStyle name="40% - Accent2 7 4" xfId="9704"/>
    <cellStyle name="40% - Accent2 7 5" xfId="14176"/>
    <cellStyle name="40% - Accent2 7_Forecast" xfId="22331"/>
    <cellStyle name="40% - Accent2 70" xfId="14177"/>
    <cellStyle name="40% - Accent2 71" xfId="14178"/>
    <cellStyle name="40% - Accent2 72" xfId="14179"/>
    <cellStyle name="40% - Accent2 73" xfId="14180"/>
    <cellStyle name="40% - Accent2 74" xfId="14181"/>
    <cellStyle name="40% - Accent2 75" xfId="14182"/>
    <cellStyle name="40% - Accent2 76" xfId="14183"/>
    <cellStyle name="40% - Accent2 77" xfId="14184"/>
    <cellStyle name="40% - Accent2 78" xfId="14185"/>
    <cellStyle name="40% - Accent2 79" xfId="14186"/>
    <cellStyle name="40% - Accent2 8" xfId="7576"/>
    <cellStyle name="40% - Accent2 8 2" xfId="9015"/>
    <cellStyle name="40% - Accent2 8 2 2" xfId="11706"/>
    <cellStyle name="40% - Accent2 8 2 3" xfId="10393"/>
    <cellStyle name="40% - Accent2 8 2_Note Calc" xfId="26839"/>
    <cellStyle name="40% - Accent2 8 3" xfId="11018"/>
    <cellStyle name="40% - Accent2 8 4" xfId="9705"/>
    <cellStyle name="40% - Accent2 8 5" xfId="14187"/>
    <cellStyle name="40% - Accent2 8_Forecast" xfId="22332"/>
    <cellStyle name="40% - Accent2 80" xfId="14188"/>
    <cellStyle name="40% - Accent2 81" xfId="14189"/>
    <cellStyle name="40% - Accent2 82" xfId="14190"/>
    <cellStyle name="40% - Accent2 83" xfId="14191"/>
    <cellStyle name="40% - Accent2 84" xfId="14192"/>
    <cellStyle name="40% - Accent2 85" xfId="14193"/>
    <cellStyle name="40% - Accent2 86" xfId="14194"/>
    <cellStyle name="40% - Accent2 87" xfId="14195"/>
    <cellStyle name="40% - Accent2 88" xfId="14196"/>
    <cellStyle name="40% - Accent2 89" xfId="14197"/>
    <cellStyle name="40% - Accent2 9" xfId="7577"/>
    <cellStyle name="40% - Accent2 9 2" xfId="9016"/>
    <cellStyle name="40% - Accent2 9 2 2" xfId="11707"/>
    <cellStyle name="40% - Accent2 9 2 3" xfId="10394"/>
    <cellStyle name="40% - Accent2 9 2_Note Calc" xfId="26840"/>
    <cellStyle name="40% - Accent2 9 3" xfId="11019"/>
    <cellStyle name="40% - Accent2 9 4" xfId="9706"/>
    <cellStyle name="40% - Accent2 9 5" xfId="14198"/>
    <cellStyle name="40% - Accent2 9_Forecast" xfId="22333"/>
    <cellStyle name="40% - Accent2 90" xfId="14199"/>
    <cellStyle name="40% - Accent2 91" xfId="14200"/>
    <cellStyle name="40% - Accent2 92" xfId="14201"/>
    <cellStyle name="40% - Accent2 93" xfId="14202"/>
    <cellStyle name="40% - Accent2 94" xfId="14203"/>
    <cellStyle name="40% - Accent2 95" xfId="14204"/>
    <cellStyle name="40% - Accent2 96" xfId="14205"/>
    <cellStyle name="40% - Accent2 97" xfId="14206"/>
    <cellStyle name="40% - Accent2 98" xfId="14207"/>
    <cellStyle name="40% - Accent2 99" xfId="14208"/>
    <cellStyle name="40% - Accent3" xfId="249" builtinId="39" customBuiltin="1"/>
    <cellStyle name="40% - Accent3 10" xfId="8784"/>
    <cellStyle name="40% - Accent3 10 2" xfId="11476"/>
    <cellStyle name="40% - Accent3 10 3" xfId="10163"/>
    <cellStyle name="40% - Accent3 10 4" xfId="14209"/>
    <cellStyle name="40% - Accent3 10_Note Calc" xfId="26841"/>
    <cellStyle name="40% - Accent3 100" xfId="14210"/>
    <cellStyle name="40% - Accent3 101" xfId="14211"/>
    <cellStyle name="40% - Accent3 102" xfId="14212"/>
    <cellStyle name="40% - Accent3 103" xfId="14213"/>
    <cellStyle name="40% - Accent3 104" xfId="14214"/>
    <cellStyle name="40% - Accent3 105" xfId="14215"/>
    <cellStyle name="40% - Accent3 106" xfId="14216"/>
    <cellStyle name="40% - Accent3 107" xfId="14217"/>
    <cellStyle name="40% - Accent3 108" xfId="14218"/>
    <cellStyle name="40% - Accent3 109" xfId="14219"/>
    <cellStyle name="40% - Accent3 11" xfId="10788"/>
    <cellStyle name="40% - Accent3 11 2" xfId="14220"/>
    <cellStyle name="40% - Accent3 11_Forecast" xfId="22334"/>
    <cellStyle name="40% - Accent3 110" xfId="14221"/>
    <cellStyle name="40% - Accent3 111" xfId="14222"/>
    <cellStyle name="40% - Accent3 112" xfId="14223"/>
    <cellStyle name="40% - Accent3 113" xfId="14224"/>
    <cellStyle name="40% - Accent3 114" xfId="14225"/>
    <cellStyle name="40% - Accent3 115" xfId="14226"/>
    <cellStyle name="40% - Accent3 116" xfId="14227"/>
    <cellStyle name="40% - Accent3 117" xfId="14228"/>
    <cellStyle name="40% - Accent3 118" xfId="14229"/>
    <cellStyle name="40% - Accent3 119" xfId="14230"/>
    <cellStyle name="40% - Accent3 12" xfId="9475"/>
    <cellStyle name="40% - Accent3 12 2" xfId="14231"/>
    <cellStyle name="40% - Accent3 12_Forecast" xfId="22335"/>
    <cellStyle name="40% - Accent3 120" xfId="14232"/>
    <cellStyle name="40% - Accent3 121" xfId="14233"/>
    <cellStyle name="40% - Accent3 122" xfId="14234"/>
    <cellStyle name="40% - Accent3 123" xfId="14235"/>
    <cellStyle name="40% - Accent3 124" xfId="14236"/>
    <cellStyle name="40% - Accent3 125" xfId="14237"/>
    <cellStyle name="40% - Accent3 126" xfId="14238"/>
    <cellStyle name="40% - Accent3 127" xfId="14239"/>
    <cellStyle name="40% - Accent3 128" xfId="14240"/>
    <cellStyle name="40% - Accent3 129" xfId="14241"/>
    <cellStyle name="40% - Accent3 13" xfId="12244"/>
    <cellStyle name="40% - Accent3 13 2" xfId="14242"/>
    <cellStyle name="40% - Accent3 13_Note Calc" xfId="26842"/>
    <cellStyle name="40% - Accent3 130" xfId="14243"/>
    <cellStyle name="40% - Accent3 131" xfId="14244"/>
    <cellStyle name="40% - Accent3 132" xfId="14245"/>
    <cellStyle name="40% - Accent3 133" xfId="14246"/>
    <cellStyle name="40% - Accent3 134" xfId="14247"/>
    <cellStyle name="40% - Accent3 135" xfId="14248"/>
    <cellStyle name="40% - Accent3 136" xfId="14249"/>
    <cellStyle name="40% - Accent3 137" xfId="14250"/>
    <cellStyle name="40% - Accent3 138" xfId="14251"/>
    <cellStyle name="40% - Accent3 139" xfId="14252"/>
    <cellStyle name="40% - Accent3 14" xfId="14253"/>
    <cellStyle name="40% - Accent3 140" xfId="14254"/>
    <cellStyle name="40% - Accent3 141" xfId="14255"/>
    <cellStyle name="40% - Accent3 142" xfId="14256"/>
    <cellStyle name="40% - Accent3 143" xfId="14257"/>
    <cellStyle name="40% - Accent3 144" xfId="14258"/>
    <cellStyle name="40% - Accent3 145" xfId="14259"/>
    <cellStyle name="40% - Accent3 146" xfId="14260"/>
    <cellStyle name="40% - Accent3 147" xfId="14261"/>
    <cellStyle name="40% - Accent3 148" xfId="14262"/>
    <cellStyle name="40% - Accent3 149" xfId="14263"/>
    <cellStyle name="40% - Accent3 15" xfId="14264"/>
    <cellStyle name="40% - Accent3 150" xfId="14265"/>
    <cellStyle name="40% - Accent3 151" xfId="14266"/>
    <cellStyle name="40% - Accent3 152" xfId="14267"/>
    <cellStyle name="40% - Accent3 153" xfId="14268"/>
    <cellStyle name="40% - Accent3 154" xfId="14269"/>
    <cellStyle name="40% - Accent3 155" xfId="14270"/>
    <cellStyle name="40% - Accent3 156" xfId="14271"/>
    <cellStyle name="40% - Accent3 157" xfId="14272"/>
    <cellStyle name="40% - Accent3 158" xfId="14273"/>
    <cellStyle name="40% - Accent3 159" xfId="14274"/>
    <cellStyle name="40% - Accent3 16" xfId="14275"/>
    <cellStyle name="40% - Accent3 160" xfId="14276"/>
    <cellStyle name="40% - Accent3 161" xfId="14277"/>
    <cellStyle name="40% - Accent3 162" xfId="14278"/>
    <cellStyle name="40% - Accent3 163" xfId="14279"/>
    <cellStyle name="40% - Accent3 163 2" xfId="21430"/>
    <cellStyle name="40% - Accent3 163 3" xfId="21431"/>
    <cellStyle name="40% - Accent3 163_Note Calc" xfId="26843"/>
    <cellStyle name="40% - Accent3 164" xfId="14280"/>
    <cellStyle name="40% - Accent3 165" xfId="14281"/>
    <cellStyle name="40% - Accent3 166" xfId="14282"/>
    <cellStyle name="40% - Accent3 167" xfId="14283"/>
    <cellStyle name="40% - Accent3 168" xfId="14284"/>
    <cellStyle name="40% - Accent3 169" xfId="14285"/>
    <cellStyle name="40% - Accent3 17" xfId="14286"/>
    <cellStyle name="40% - Accent3 170" xfId="14287"/>
    <cellStyle name="40% - Accent3 171" xfId="14288"/>
    <cellStyle name="40% - Accent3 172" xfId="14289"/>
    <cellStyle name="40% - Accent3 173" xfId="14290"/>
    <cellStyle name="40% - Accent3 174" xfId="14291"/>
    <cellStyle name="40% - Accent3 175" xfId="14292"/>
    <cellStyle name="40% - Accent3 176" xfId="14293"/>
    <cellStyle name="40% - Accent3 177" xfId="14294"/>
    <cellStyle name="40% - Accent3 178" xfId="14295"/>
    <cellStyle name="40% - Accent3 179" xfId="14296"/>
    <cellStyle name="40% - Accent3 18" xfId="14297"/>
    <cellStyle name="40% - Accent3 180" xfId="14298"/>
    <cellStyle name="40% - Accent3 181" xfId="14299"/>
    <cellStyle name="40% - Accent3 182" xfId="14300"/>
    <cellStyle name="40% - Accent3 183" xfId="14301"/>
    <cellStyle name="40% - Accent3 184" xfId="14302"/>
    <cellStyle name="40% - Accent3 185" xfId="14303"/>
    <cellStyle name="40% - Accent3 186" xfId="14304"/>
    <cellStyle name="40% - Accent3 187" xfId="14305"/>
    <cellStyle name="40% - Accent3 188" xfId="14306"/>
    <cellStyle name="40% - Accent3 189" xfId="14307"/>
    <cellStyle name="40% - Accent3 19" xfId="14308"/>
    <cellStyle name="40% - Accent3 190" xfId="14309"/>
    <cellStyle name="40% - Accent3 191" xfId="14310"/>
    <cellStyle name="40% - Accent3 192" xfId="14311"/>
    <cellStyle name="40% - Accent3 193" xfId="14312"/>
    <cellStyle name="40% - Accent3 194" xfId="14313"/>
    <cellStyle name="40% - Accent3 195" xfId="14314"/>
    <cellStyle name="40% - Accent3 196" xfId="14315"/>
    <cellStyle name="40% - Accent3 197" xfId="14316"/>
    <cellStyle name="40% - Accent3 198" xfId="14317"/>
    <cellStyle name="40% - Accent3 199" xfId="14318"/>
    <cellStyle name="40% - Accent3 2" xfId="250"/>
    <cellStyle name="40% - Accent3 2 10" xfId="251"/>
    <cellStyle name="40% - Accent3 2 11" xfId="252"/>
    <cellStyle name="40% - Accent3 2 12" xfId="253"/>
    <cellStyle name="40% - Accent3 2 13" xfId="254"/>
    <cellStyle name="40% - Accent3 2 14" xfId="255"/>
    <cellStyle name="40% - Accent3 2 15" xfId="256"/>
    <cellStyle name="40% - Accent3 2 16" xfId="257"/>
    <cellStyle name="40% - Accent3 2 17" xfId="258"/>
    <cellStyle name="40% - Accent3 2 18" xfId="259"/>
    <cellStyle name="40% - Accent3 2 19" xfId="260"/>
    <cellStyle name="40% - Accent3 2 2" xfId="261"/>
    <cellStyle name="40% - Accent3 2 2 2" xfId="7579"/>
    <cellStyle name="40% - Accent3 2 2 2 2" xfId="9018"/>
    <cellStyle name="40% - Accent3 2 2 2 2 2" xfId="11709"/>
    <cellStyle name="40% - Accent3 2 2 2 2 3" xfId="10396"/>
    <cellStyle name="40% - Accent3 2 2 2 2_Note Calc" xfId="26845"/>
    <cellStyle name="40% - Accent3 2 2 2 3" xfId="11021"/>
    <cellStyle name="40% - Accent3 2 2 2 4" xfId="9708"/>
    <cellStyle name="40% - Accent3 2 2 2_Forecast" xfId="22336"/>
    <cellStyle name="40% - Accent3 2 2 3" xfId="8253"/>
    <cellStyle name="40% - Accent3 2 2 3 2" xfId="9205"/>
    <cellStyle name="40% - Accent3 2 2 3 2 2" xfId="11896"/>
    <cellStyle name="40% - Accent3 2 2 3 2 3" xfId="10583"/>
    <cellStyle name="40% - Accent3 2 2 3 2_Note Calc" xfId="26846"/>
    <cellStyle name="40% - Accent3 2 2 3 3" xfId="11208"/>
    <cellStyle name="40% - Accent3 2 2 3 4" xfId="9895"/>
    <cellStyle name="40% - Accent3 2 2 3_Forecast" xfId="22337"/>
    <cellStyle name="40% - Accent3 2 2 4" xfId="8344"/>
    <cellStyle name="40% - Accent3 2 2 4 2" xfId="9266"/>
    <cellStyle name="40% - Accent3 2 2 4 2 2" xfId="11957"/>
    <cellStyle name="40% - Accent3 2 2 4 2 3" xfId="10644"/>
    <cellStyle name="40% - Accent3 2 2 4 2_Note Calc" xfId="26847"/>
    <cellStyle name="40% - Accent3 2 2 4 3" xfId="11269"/>
    <cellStyle name="40% - Accent3 2 2 4 4" xfId="9956"/>
    <cellStyle name="40% - Accent3 2 2 4_Forecast" xfId="22338"/>
    <cellStyle name="40% - Accent3 2 2 5" xfId="21432"/>
    <cellStyle name="40% - Accent3 2 2_Note Calc" xfId="26844"/>
    <cellStyle name="40% - Accent3 2 20" xfId="262"/>
    <cellStyle name="40% - Accent3 2 21" xfId="263"/>
    <cellStyle name="40% - Accent3 2 22" xfId="264"/>
    <cellStyle name="40% - Accent3 2 23" xfId="265"/>
    <cellStyle name="40% - Accent3 2 24" xfId="266"/>
    <cellStyle name="40% - Accent3 2 25" xfId="267"/>
    <cellStyle name="40% - Accent3 2 26" xfId="268"/>
    <cellStyle name="40% - Accent3 2 27" xfId="269"/>
    <cellStyle name="40% - Accent3 2 28" xfId="270"/>
    <cellStyle name="40% - Accent3 2 29" xfId="271"/>
    <cellStyle name="40% - Accent3 2 3" xfId="272"/>
    <cellStyle name="40% - Accent3 2 3 2" xfId="7580"/>
    <cellStyle name="40% - Accent3 2 3 2 2" xfId="9019"/>
    <cellStyle name="40% - Accent3 2 3 2 2 2" xfId="11710"/>
    <cellStyle name="40% - Accent3 2 3 2 2 3" xfId="10397"/>
    <cellStyle name="40% - Accent3 2 3 2 2_Note Calc" xfId="26849"/>
    <cellStyle name="40% - Accent3 2 3 2 3" xfId="11022"/>
    <cellStyle name="40% - Accent3 2 3 2 4" xfId="9709"/>
    <cellStyle name="40% - Accent3 2 3 2_Forecast" xfId="22339"/>
    <cellStyle name="40% - Accent3 2 3 3" xfId="8254"/>
    <cellStyle name="40% - Accent3 2 3 3 2" xfId="9206"/>
    <cellStyle name="40% - Accent3 2 3 3 2 2" xfId="11897"/>
    <cellStyle name="40% - Accent3 2 3 3 2 3" xfId="10584"/>
    <cellStyle name="40% - Accent3 2 3 3 2_Note Calc" xfId="26850"/>
    <cellStyle name="40% - Accent3 2 3 3 3" xfId="11209"/>
    <cellStyle name="40% - Accent3 2 3 3 4" xfId="9896"/>
    <cellStyle name="40% - Accent3 2 3 3_Forecast" xfId="22340"/>
    <cellStyle name="40% - Accent3 2 3 4" xfId="8343"/>
    <cellStyle name="40% - Accent3 2 3 4 2" xfId="9265"/>
    <cellStyle name="40% - Accent3 2 3 4 2 2" xfId="11956"/>
    <cellStyle name="40% - Accent3 2 3 4 2 3" xfId="10643"/>
    <cellStyle name="40% - Accent3 2 3 4 2_Note Calc" xfId="26851"/>
    <cellStyle name="40% - Accent3 2 3 4 3" xfId="11268"/>
    <cellStyle name="40% - Accent3 2 3 4 4" xfId="9955"/>
    <cellStyle name="40% - Accent3 2 3 4_Forecast" xfId="22341"/>
    <cellStyle name="40% - Accent3 2 3 5" xfId="21433"/>
    <cellStyle name="40% - Accent3 2 3_Note Calc" xfId="26848"/>
    <cellStyle name="40% - Accent3 2 30" xfId="273"/>
    <cellStyle name="40% - Accent3 2 31" xfId="7578"/>
    <cellStyle name="40% - Accent3 2 31 2" xfId="9017"/>
    <cellStyle name="40% - Accent3 2 31 2 2" xfId="11708"/>
    <cellStyle name="40% - Accent3 2 31 2 3" xfId="10395"/>
    <cellStyle name="40% - Accent3 2 31 2_Note Calc" xfId="26852"/>
    <cellStyle name="40% - Accent3 2 31 3" xfId="11020"/>
    <cellStyle name="40% - Accent3 2 31 4" xfId="9707"/>
    <cellStyle name="40% - Accent3 2 31_Forecast" xfId="22342"/>
    <cellStyle name="40% - Accent3 2 32" xfId="8252"/>
    <cellStyle name="40% - Accent3 2 32 2" xfId="9204"/>
    <cellStyle name="40% - Accent3 2 32 2 2" xfId="11895"/>
    <cellStyle name="40% - Accent3 2 32 2 3" xfId="10582"/>
    <cellStyle name="40% - Accent3 2 32 2_Note Calc" xfId="26853"/>
    <cellStyle name="40% - Accent3 2 32 3" xfId="11207"/>
    <cellStyle name="40% - Accent3 2 32 4" xfId="9894"/>
    <cellStyle name="40% - Accent3 2 32_Forecast" xfId="22343"/>
    <cellStyle name="40% - Accent3 2 33" xfId="8345"/>
    <cellStyle name="40% - Accent3 2 33 2" xfId="9267"/>
    <cellStyle name="40% - Accent3 2 33 2 2" xfId="11958"/>
    <cellStyle name="40% - Accent3 2 33 2 3" xfId="10645"/>
    <cellStyle name="40% - Accent3 2 33 2_Note Calc" xfId="26854"/>
    <cellStyle name="40% - Accent3 2 33 3" xfId="11270"/>
    <cellStyle name="40% - Accent3 2 33 4" xfId="9957"/>
    <cellStyle name="40% - Accent3 2 33_Forecast" xfId="22344"/>
    <cellStyle name="40% - Accent3 2 34" xfId="12107"/>
    <cellStyle name="40% - Accent3 2 35" xfId="14319"/>
    <cellStyle name="40% - Accent3 2 36" xfId="26855"/>
    <cellStyle name="40% - Accent3 2 4" xfId="274"/>
    <cellStyle name="40% - Accent3 2 4 2" xfId="7581"/>
    <cellStyle name="40% - Accent3 2 4 2 2" xfId="9020"/>
    <cellStyle name="40% - Accent3 2 4 2 2 2" xfId="11711"/>
    <cellStyle name="40% - Accent3 2 4 2 2 3" xfId="10398"/>
    <cellStyle name="40% - Accent3 2 4 2 2_Note Calc" xfId="26857"/>
    <cellStyle name="40% - Accent3 2 4 2 3" xfId="11023"/>
    <cellStyle name="40% - Accent3 2 4 2 4" xfId="9710"/>
    <cellStyle name="40% - Accent3 2 4 2_Forecast" xfId="22345"/>
    <cellStyle name="40% - Accent3 2 4 3" xfId="8255"/>
    <cellStyle name="40% - Accent3 2 4 3 2" xfId="9207"/>
    <cellStyle name="40% - Accent3 2 4 3 2 2" xfId="11898"/>
    <cellStyle name="40% - Accent3 2 4 3 2 3" xfId="10585"/>
    <cellStyle name="40% - Accent3 2 4 3 2_Note Calc" xfId="26858"/>
    <cellStyle name="40% - Accent3 2 4 3 3" xfId="11210"/>
    <cellStyle name="40% - Accent3 2 4 3 4" xfId="9897"/>
    <cellStyle name="40% - Accent3 2 4 3_Forecast" xfId="22346"/>
    <cellStyle name="40% - Accent3 2 4 4" xfId="8342"/>
    <cellStyle name="40% - Accent3 2 4 4 2" xfId="9264"/>
    <cellStyle name="40% - Accent3 2 4 4 2 2" xfId="11955"/>
    <cellStyle name="40% - Accent3 2 4 4 2 3" xfId="10642"/>
    <cellStyle name="40% - Accent3 2 4 4 2_Note Calc" xfId="26859"/>
    <cellStyle name="40% - Accent3 2 4 4 3" xfId="11267"/>
    <cellStyle name="40% - Accent3 2 4 4 4" xfId="9954"/>
    <cellStyle name="40% - Accent3 2 4 4_Forecast" xfId="22347"/>
    <cellStyle name="40% - Accent3 2 4 5" xfId="21434"/>
    <cellStyle name="40% - Accent3 2 4_Note Calc" xfId="26856"/>
    <cellStyle name="40% - Accent3 2 5" xfId="275"/>
    <cellStyle name="40% - Accent3 2 5 2" xfId="7582"/>
    <cellStyle name="40% - Accent3 2 5 2 2" xfId="9021"/>
    <cellStyle name="40% - Accent3 2 5 2 2 2" xfId="11712"/>
    <cellStyle name="40% - Accent3 2 5 2 2 3" xfId="10399"/>
    <cellStyle name="40% - Accent3 2 5 2 2_Note Calc" xfId="26861"/>
    <cellStyle name="40% - Accent3 2 5 2 3" xfId="11024"/>
    <cellStyle name="40% - Accent3 2 5 2 4" xfId="9711"/>
    <cellStyle name="40% - Accent3 2 5 2_Forecast" xfId="22348"/>
    <cellStyle name="40% - Accent3 2 5 3" xfId="8256"/>
    <cellStyle name="40% - Accent3 2 5 3 2" xfId="9208"/>
    <cellStyle name="40% - Accent3 2 5 3 2 2" xfId="11899"/>
    <cellStyle name="40% - Accent3 2 5 3 2 3" xfId="10586"/>
    <cellStyle name="40% - Accent3 2 5 3 2_Note Calc" xfId="26862"/>
    <cellStyle name="40% - Accent3 2 5 3 3" xfId="11211"/>
    <cellStyle name="40% - Accent3 2 5 3 4" xfId="9898"/>
    <cellStyle name="40% - Accent3 2 5 3_Forecast" xfId="22349"/>
    <cellStyle name="40% - Accent3 2 5 4" xfId="8341"/>
    <cellStyle name="40% - Accent3 2 5 4 2" xfId="9263"/>
    <cellStyle name="40% - Accent3 2 5 4 2 2" xfId="11954"/>
    <cellStyle name="40% - Accent3 2 5 4 2 3" xfId="10641"/>
    <cellStyle name="40% - Accent3 2 5 4 2_Note Calc" xfId="26863"/>
    <cellStyle name="40% - Accent3 2 5 4 3" xfId="11266"/>
    <cellStyle name="40% - Accent3 2 5 4 4" xfId="9953"/>
    <cellStyle name="40% - Accent3 2 5 4_Forecast" xfId="22350"/>
    <cellStyle name="40% - Accent3 2 5_Note Calc" xfId="26860"/>
    <cellStyle name="40% - Accent3 2 6" xfId="276"/>
    <cellStyle name="40% - Accent3 2 6 2" xfId="7583"/>
    <cellStyle name="40% - Accent3 2 6 2 2" xfId="9022"/>
    <cellStyle name="40% - Accent3 2 6 2 2 2" xfId="11713"/>
    <cellStyle name="40% - Accent3 2 6 2 2 3" xfId="10400"/>
    <cellStyle name="40% - Accent3 2 6 2 2_Note Calc" xfId="26865"/>
    <cellStyle name="40% - Accent3 2 6 2 3" xfId="11025"/>
    <cellStyle name="40% - Accent3 2 6 2 4" xfId="9712"/>
    <cellStyle name="40% - Accent3 2 6 2_Forecast" xfId="22351"/>
    <cellStyle name="40% - Accent3 2 6 3" xfId="8257"/>
    <cellStyle name="40% - Accent3 2 6 3 2" xfId="9209"/>
    <cellStyle name="40% - Accent3 2 6 3 2 2" xfId="11900"/>
    <cellStyle name="40% - Accent3 2 6 3 2 3" xfId="10587"/>
    <cellStyle name="40% - Accent3 2 6 3 2_Note Calc" xfId="26866"/>
    <cellStyle name="40% - Accent3 2 6 3 3" xfId="11212"/>
    <cellStyle name="40% - Accent3 2 6 3 4" xfId="9899"/>
    <cellStyle name="40% - Accent3 2 6 3_Forecast" xfId="22352"/>
    <cellStyle name="40% - Accent3 2 6 4" xfId="8340"/>
    <cellStyle name="40% - Accent3 2 6 4 2" xfId="9262"/>
    <cellStyle name="40% - Accent3 2 6 4 2 2" xfId="11953"/>
    <cellStyle name="40% - Accent3 2 6 4 2 3" xfId="10640"/>
    <cellStyle name="40% - Accent3 2 6 4 2_Note Calc" xfId="26867"/>
    <cellStyle name="40% - Accent3 2 6 4 3" xfId="11265"/>
    <cellStyle name="40% - Accent3 2 6 4 4" xfId="9952"/>
    <cellStyle name="40% - Accent3 2 6 4_Forecast" xfId="22353"/>
    <cellStyle name="40% - Accent3 2 6_Note Calc" xfId="26864"/>
    <cellStyle name="40% - Accent3 2 7" xfId="277"/>
    <cellStyle name="40% - Accent3 2 7 2" xfId="7584"/>
    <cellStyle name="40% - Accent3 2 7 2 2" xfId="9023"/>
    <cellStyle name="40% - Accent3 2 7 2 2 2" xfId="11714"/>
    <cellStyle name="40% - Accent3 2 7 2 2 3" xfId="10401"/>
    <cellStyle name="40% - Accent3 2 7 2 2_Note Calc" xfId="26869"/>
    <cellStyle name="40% - Accent3 2 7 2 3" xfId="11026"/>
    <cellStyle name="40% - Accent3 2 7 2 4" xfId="9713"/>
    <cellStyle name="40% - Accent3 2 7 2_Forecast" xfId="22354"/>
    <cellStyle name="40% - Accent3 2 7 3" xfId="8258"/>
    <cellStyle name="40% - Accent3 2 7 3 2" xfId="9210"/>
    <cellStyle name="40% - Accent3 2 7 3 2 2" xfId="11901"/>
    <cellStyle name="40% - Accent3 2 7 3 2 3" xfId="10588"/>
    <cellStyle name="40% - Accent3 2 7 3 2_Note Calc" xfId="26870"/>
    <cellStyle name="40% - Accent3 2 7 3 3" xfId="11213"/>
    <cellStyle name="40% - Accent3 2 7 3 4" xfId="9900"/>
    <cellStyle name="40% - Accent3 2 7 3_Forecast" xfId="22355"/>
    <cellStyle name="40% - Accent3 2 7 4" xfId="8339"/>
    <cellStyle name="40% - Accent3 2 7 4 2" xfId="9261"/>
    <cellStyle name="40% - Accent3 2 7 4 2 2" xfId="11952"/>
    <cellStyle name="40% - Accent3 2 7 4 2 3" xfId="10639"/>
    <cellStyle name="40% - Accent3 2 7 4 2_Note Calc" xfId="26871"/>
    <cellStyle name="40% - Accent3 2 7 4 3" xfId="11264"/>
    <cellStyle name="40% - Accent3 2 7 4 4" xfId="9951"/>
    <cellStyle name="40% - Accent3 2 7 4_Forecast" xfId="22356"/>
    <cellStyle name="40% - Accent3 2 7_Note Calc" xfId="26868"/>
    <cellStyle name="40% - Accent3 2 8" xfId="278"/>
    <cellStyle name="40% - Accent3 2 9" xfId="279"/>
    <cellStyle name="40% - Accent3 2_Forecast" xfId="22357"/>
    <cellStyle name="40% - Accent3 20" xfId="14320"/>
    <cellStyle name="40% - Accent3 200" xfId="14321"/>
    <cellStyle name="40% - Accent3 201" xfId="14322"/>
    <cellStyle name="40% - Accent3 202" xfId="14323"/>
    <cellStyle name="40% - Accent3 203" xfId="14324"/>
    <cellStyle name="40% - Accent3 204" xfId="14325"/>
    <cellStyle name="40% - Accent3 205" xfId="14326"/>
    <cellStyle name="40% - Accent3 206" xfId="14327"/>
    <cellStyle name="40% - Accent3 207" xfId="14328"/>
    <cellStyle name="40% - Accent3 208" xfId="14329"/>
    <cellStyle name="40% - Accent3 209" xfId="14330"/>
    <cellStyle name="40% - Accent3 21" xfId="14331"/>
    <cellStyle name="40% - Accent3 210" xfId="14332"/>
    <cellStyle name="40% - Accent3 211" xfId="14333"/>
    <cellStyle name="40% - Accent3 212" xfId="14334"/>
    <cellStyle name="40% - Accent3 213" xfId="14335"/>
    <cellStyle name="40% - Accent3 214" xfId="14336"/>
    <cellStyle name="40% - Accent3 215" xfId="14337"/>
    <cellStyle name="40% - Accent3 216" xfId="14338"/>
    <cellStyle name="40% - Accent3 217" xfId="14339"/>
    <cellStyle name="40% - Accent3 218" xfId="14340"/>
    <cellStyle name="40% - Accent3 219" xfId="14341"/>
    <cellStyle name="40% - Accent3 22" xfId="14342"/>
    <cellStyle name="40% - Accent3 220" xfId="14343"/>
    <cellStyle name="40% - Accent3 221" xfId="14344"/>
    <cellStyle name="40% - Accent3 222" xfId="14345"/>
    <cellStyle name="40% - Accent3 223" xfId="14346"/>
    <cellStyle name="40% - Accent3 224" xfId="14347"/>
    <cellStyle name="40% - Accent3 225" xfId="14348"/>
    <cellStyle name="40% - Accent3 226" xfId="14349"/>
    <cellStyle name="40% - Accent3 227" xfId="14350"/>
    <cellStyle name="40% - Accent3 228" xfId="14351"/>
    <cellStyle name="40% - Accent3 229" xfId="14352"/>
    <cellStyle name="40% - Accent3 23" xfId="14353"/>
    <cellStyle name="40% - Accent3 230" xfId="14354"/>
    <cellStyle name="40% - Accent3 231" xfId="14355"/>
    <cellStyle name="40% - Accent3 232" xfId="14356"/>
    <cellStyle name="40% - Accent3 233" xfId="14357"/>
    <cellStyle name="40% - Accent3 234" xfId="14358"/>
    <cellStyle name="40% - Accent3 235" xfId="14359"/>
    <cellStyle name="40% - Accent3 236" xfId="14360"/>
    <cellStyle name="40% - Accent3 237" xfId="14361"/>
    <cellStyle name="40% - Accent3 238" xfId="14362"/>
    <cellStyle name="40% - Accent3 239" xfId="14363"/>
    <cellStyle name="40% - Accent3 24" xfId="14364"/>
    <cellStyle name="40% - Accent3 240" xfId="14365"/>
    <cellStyle name="40% - Accent3 241" xfId="14366"/>
    <cellStyle name="40% - Accent3 242" xfId="14367"/>
    <cellStyle name="40% - Accent3 243" xfId="14368"/>
    <cellStyle name="40% - Accent3 244" xfId="14369"/>
    <cellStyle name="40% - Accent3 245" xfId="21435"/>
    <cellStyle name="40% - Accent3 246" xfId="21436"/>
    <cellStyle name="40% - Accent3 247" xfId="21437"/>
    <cellStyle name="40% - Accent3 248" xfId="21438"/>
    <cellStyle name="40% - Accent3 249" xfId="21439"/>
    <cellStyle name="40% - Accent3 25" xfId="14370"/>
    <cellStyle name="40% - Accent3 250" xfId="21440"/>
    <cellStyle name="40% - Accent3 251" xfId="21441"/>
    <cellStyle name="40% - Accent3 252" xfId="21442"/>
    <cellStyle name="40% - Accent3 253" xfId="21443"/>
    <cellStyle name="40% - Accent3 254" xfId="21444"/>
    <cellStyle name="40% - Accent3 255" xfId="21445"/>
    <cellStyle name="40% - Accent3 256" xfId="21446"/>
    <cellStyle name="40% - Accent3 257" xfId="21447"/>
    <cellStyle name="40% - Accent3 258" xfId="21808"/>
    <cellStyle name="40% - Accent3 259" xfId="21809"/>
    <cellStyle name="40% - Accent3 26" xfId="14371"/>
    <cellStyle name="40% - Accent3 260" xfId="21810"/>
    <cellStyle name="40% - Accent3 261" xfId="21811"/>
    <cellStyle name="40% - Accent3 262" xfId="21732"/>
    <cellStyle name="40% - Accent3 263" xfId="21975"/>
    <cellStyle name="40% - Accent3 264" xfId="21893"/>
    <cellStyle name="40% - Accent3 265" xfId="26872"/>
    <cellStyle name="40% - Accent3 27" xfId="14372"/>
    <cellStyle name="40% - Accent3 28" xfId="14373"/>
    <cellStyle name="40% - Accent3 29" xfId="14374"/>
    <cellStyle name="40% - Accent3 3" xfId="7415"/>
    <cellStyle name="40% - Accent3 3 10" xfId="8857"/>
    <cellStyle name="40% - Accent3 3 10 2" xfId="11548"/>
    <cellStyle name="40% - Accent3 3 10 3" xfId="10235"/>
    <cellStyle name="40% - Accent3 3 10_Note Calc" xfId="26873"/>
    <cellStyle name="40% - Accent3 3 11" xfId="10860"/>
    <cellStyle name="40% - Accent3 3 12" xfId="9547"/>
    <cellStyle name="40% - Accent3 3 12 2" xfId="22358"/>
    <cellStyle name="40% - Accent3 3 12_Forecast" xfId="22359"/>
    <cellStyle name="40% - Accent3 3 13" xfId="14375"/>
    <cellStyle name="40% - Accent3 3 14" xfId="22360"/>
    <cellStyle name="40% - Accent3 3 2" xfId="7585"/>
    <cellStyle name="40% - Accent3 3 2 2" xfId="9024"/>
    <cellStyle name="40% - Accent3 3 2 2 2" xfId="11715"/>
    <cellStyle name="40% - Accent3 3 2 2 3" xfId="10402"/>
    <cellStyle name="40% - Accent3 3 2 2_Note Calc" xfId="26874"/>
    <cellStyle name="40% - Accent3 3 2 3" xfId="11027"/>
    <cellStyle name="40% - Accent3 3 2 4" xfId="9714"/>
    <cellStyle name="40% - Accent3 3 2_Forecast" xfId="22361"/>
    <cellStyle name="40% - Accent3 3 3" xfId="7586"/>
    <cellStyle name="40% - Accent3 3 3 2" xfId="9025"/>
    <cellStyle name="40% - Accent3 3 3 2 2" xfId="11716"/>
    <cellStyle name="40% - Accent3 3 3 2 3" xfId="10403"/>
    <cellStyle name="40% - Accent3 3 3 2_Note Calc" xfId="26875"/>
    <cellStyle name="40% - Accent3 3 3 3" xfId="11028"/>
    <cellStyle name="40% - Accent3 3 3 4" xfId="9715"/>
    <cellStyle name="40% - Accent3 3 3_Forecast" xfId="22362"/>
    <cellStyle name="40% - Accent3 3 4" xfId="7587"/>
    <cellStyle name="40% - Accent3 3 4 2" xfId="9026"/>
    <cellStyle name="40% - Accent3 3 4 2 2" xfId="11717"/>
    <cellStyle name="40% - Accent3 3 4 2 3" xfId="10404"/>
    <cellStyle name="40% - Accent3 3 4 2_Note Calc" xfId="26876"/>
    <cellStyle name="40% - Accent3 3 4 3" xfId="11029"/>
    <cellStyle name="40% - Accent3 3 4 4" xfId="9716"/>
    <cellStyle name="40% - Accent3 3 4_Forecast" xfId="22363"/>
    <cellStyle name="40% - Accent3 3 5" xfId="7588"/>
    <cellStyle name="40% - Accent3 3 5 2" xfId="9027"/>
    <cellStyle name="40% - Accent3 3 5 2 2" xfId="11718"/>
    <cellStyle name="40% - Accent3 3 5 2 3" xfId="10405"/>
    <cellStyle name="40% - Accent3 3 5 2_Note Calc" xfId="26877"/>
    <cellStyle name="40% - Accent3 3 5 3" xfId="11030"/>
    <cellStyle name="40% - Accent3 3 5 4" xfId="9717"/>
    <cellStyle name="40% - Accent3 3 5_Forecast" xfId="22364"/>
    <cellStyle name="40% - Accent3 3 6" xfId="7589"/>
    <cellStyle name="40% - Accent3 3 6 2" xfId="9028"/>
    <cellStyle name="40% - Accent3 3 6 2 2" xfId="11719"/>
    <cellStyle name="40% - Accent3 3 6 2 3" xfId="10406"/>
    <cellStyle name="40% - Accent3 3 6 2_Note Calc" xfId="26878"/>
    <cellStyle name="40% - Accent3 3 6 3" xfId="11031"/>
    <cellStyle name="40% - Accent3 3 6 4" xfId="9718"/>
    <cellStyle name="40% - Accent3 3 6_Forecast" xfId="22365"/>
    <cellStyle name="40% - Accent3 3 7" xfId="7590"/>
    <cellStyle name="40% - Accent3 3 7 2" xfId="9029"/>
    <cellStyle name="40% - Accent3 3 7 2 2" xfId="11720"/>
    <cellStyle name="40% - Accent3 3 7 2 3" xfId="10407"/>
    <cellStyle name="40% - Accent3 3 7 2_Note Calc" xfId="26879"/>
    <cellStyle name="40% - Accent3 3 7 3" xfId="11032"/>
    <cellStyle name="40% - Accent3 3 7 4" xfId="9719"/>
    <cellStyle name="40% - Accent3 3 7_Forecast" xfId="22366"/>
    <cellStyle name="40% - Accent3 3 8" xfId="8259"/>
    <cellStyle name="40% - Accent3 3 8 2" xfId="9211"/>
    <cellStyle name="40% - Accent3 3 8 2 2" xfId="11902"/>
    <cellStyle name="40% - Accent3 3 8 2 3" xfId="10589"/>
    <cellStyle name="40% - Accent3 3 8 2_Note Calc" xfId="26880"/>
    <cellStyle name="40% - Accent3 3 8 3" xfId="11214"/>
    <cellStyle name="40% - Accent3 3 8 4" xfId="9901"/>
    <cellStyle name="40% - Accent3 3 8_Forecast" xfId="22367"/>
    <cellStyle name="40% - Accent3 3 9" xfId="8338"/>
    <cellStyle name="40% - Accent3 3 9 2" xfId="9260"/>
    <cellStyle name="40% - Accent3 3 9 2 2" xfId="11951"/>
    <cellStyle name="40% - Accent3 3 9 2 3" xfId="10638"/>
    <cellStyle name="40% - Accent3 3 9 2_Note Calc" xfId="26881"/>
    <cellStyle name="40% - Accent3 3 9 3" xfId="11263"/>
    <cellStyle name="40% - Accent3 3 9 4" xfId="9950"/>
    <cellStyle name="40% - Accent3 3 9_Forecast" xfId="22368"/>
    <cellStyle name="40% - Accent3 3_Forecast" xfId="22369"/>
    <cellStyle name="40% - Accent3 30" xfId="14376"/>
    <cellStyle name="40% - Accent3 31" xfId="14377"/>
    <cellStyle name="40% - Accent3 32" xfId="14378"/>
    <cellStyle name="40% - Accent3 33" xfId="14379"/>
    <cellStyle name="40% - Accent3 34" xfId="14380"/>
    <cellStyle name="40% - Accent3 35" xfId="14381"/>
    <cellStyle name="40% - Accent3 36" xfId="14382"/>
    <cellStyle name="40% - Accent3 37" xfId="14383"/>
    <cellStyle name="40% - Accent3 38" xfId="14384"/>
    <cellStyle name="40% - Accent3 39" xfId="14385"/>
    <cellStyle name="40% - Accent3 4" xfId="7591"/>
    <cellStyle name="40% - Accent3 4 2" xfId="9030"/>
    <cellStyle name="40% - Accent3 4 2 2" xfId="11721"/>
    <cellStyle name="40% - Accent3 4 2 3" xfId="10408"/>
    <cellStyle name="40% - Accent3 4 2_Note Calc" xfId="26882"/>
    <cellStyle name="40% - Accent3 4 3" xfId="11033"/>
    <cellStyle name="40% - Accent3 4 4" xfId="9720"/>
    <cellStyle name="40% - Accent3 4 5" xfId="14386"/>
    <cellStyle name="40% - Accent3 4_Forecast" xfId="22370"/>
    <cellStyle name="40% - Accent3 40" xfId="14387"/>
    <cellStyle name="40% - Accent3 41" xfId="14388"/>
    <cellStyle name="40% - Accent3 42" xfId="14389"/>
    <cellStyle name="40% - Accent3 43" xfId="14390"/>
    <cellStyle name="40% - Accent3 44" xfId="14391"/>
    <cellStyle name="40% - Accent3 45" xfId="14392"/>
    <cellStyle name="40% - Accent3 46" xfId="14393"/>
    <cellStyle name="40% - Accent3 47" xfId="14394"/>
    <cellStyle name="40% - Accent3 48" xfId="14395"/>
    <cellStyle name="40% - Accent3 49" xfId="14396"/>
    <cellStyle name="40% - Accent3 5" xfId="7592"/>
    <cellStyle name="40% - Accent3 5 2" xfId="9031"/>
    <cellStyle name="40% - Accent3 5 2 2" xfId="11722"/>
    <cellStyle name="40% - Accent3 5 2 3" xfId="10409"/>
    <cellStyle name="40% - Accent3 5 2_Note Calc" xfId="26883"/>
    <cellStyle name="40% - Accent3 5 3" xfId="11034"/>
    <cellStyle name="40% - Accent3 5 4" xfId="9721"/>
    <cellStyle name="40% - Accent3 5 5" xfId="14397"/>
    <cellStyle name="40% - Accent3 5_Forecast" xfId="22371"/>
    <cellStyle name="40% - Accent3 50" xfId="14398"/>
    <cellStyle name="40% - Accent3 51" xfId="14399"/>
    <cellStyle name="40% - Accent3 52" xfId="14400"/>
    <cellStyle name="40% - Accent3 53" xfId="14401"/>
    <cellStyle name="40% - Accent3 54" xfId="14402"/>
    <cellStyle name="40% - Accent3 55" xfId="14403"/>
    <cellStyle name="40% - Accent3 56" xfId="14404"/>
    <cellStyle name="40% - Accent3 57" xfId="14405"/>
    <cellStyle name="40% - Accent3 58" xfId="14406"/>
    <cellStyle name="40% - Accent3 59" xfId="14407"/>
    <cellStyle name="40% - Accent3 6" xfId="7593"/>
    <cellStyle name="40% - Accent3 6 2" xfId="9032"/>
    <cellStyle name="40% - Accent3 6 2 2" xfId="11723"/>
    <cellStyle name="40% - Accent3 6 2 3" xfId="10410"/>
    <cellStyle name="40% - Accent3 6 2_Note Calc" xfId="26884"/>
    <cellStyle name="40% - Accent3 6 3" xfId="11035"/>
    <cellStyle name="40% - Accent3 6 4" xfId="9722"/>
    <cellStyle name="40% - Accent3 6 5" xfId="14408"/>
    <cellStyle name="40% - Accent3 6_Forecast" xfId="22372"/>
    <cellStyle name="40% - Accent3 60" xfId="14409"/>
    <cellStyle name="40% - Accent3 61" xfId="14410"/>
    <cellStyle name="40% - Accent3 62" xfId="14411"/>
    <cellStyle name="40% - Accent3 63" xfId="14412"/>
    <cellStyle name="40% - Accent3 64" xfId="14413"/>
    <cellStyle name="40% - Accent3 65" xfId="14414"/>
    <cellStyle name="40% - Accent3 66" xfId="14415"/>
    <cellStyle name="40% - Accent3 67" xfId="14416"/>
    <cellStyle name="40% - Accent3 68" xfId="14417"/>
    <cellStyle name="40% - Accent3 69" xfId="14418"/>
    <cellStyle name="40% - Accent3 7" xfId="7594"/>
    <cellStyle name="40% - Accent3 7 2" xfId="9033"/>
    <cellStyle name="40% - Accent3 7 2 2" xfId="11724"/>
    <cellStyle name="40% - Accent3 7 2 3" xfId="10411"/>
    <cellStyle name="40% - Accent3 7 2_Note Calc" xfId="26885"/>
    <cellStyle name="40% - Accent3 7 3" xfId="11036"/>
    <cellStyle name="40% - Accent3 7 4" xfId="9723"/>
    <cellStyle name="40% - Accent3 7 5" xfId="14419"/>
    <cellStyle name="40% - Accent3 7_Forecast" xfId="22373"/>
    <cellStyle name="40% - Accent3 70" xfId="14420"/>
    <cellStyle name="40% - Accent3 71" xfId="14421"/>
    <cellStyle name="40% - Accent3 72" xfId="14422"/>
    <cellStyle name="40% - Accent3 73" xfId="14423"/>
    <cellStyle name="40% - Accent3 74" xfId="14424"/>
    <cellStyle name="40% - Accent3 75" xfId="14425"/>
    <cellStyle name="40% - Accent3 76" xfId="14426"/>
    <cellStyle name="40% - Accent3 77" xfId="14427"/>
    <cellStyle name="40% - Accent3 78" xfId="14428"/>
    <cellStyle name="40% - Accent3 79" xfId="14429"/>
    <cellStyle name="40% - Accent3 8" xfId="7595"/>
    <cellStyle name="40% - Accent3 8 2" xfId="9034"/>
    <cellStyle name="40% - Accent3 8 2 2" xfId="11725"/>
    <cellStyle name="40% - Accent3 8 2 3" xfId="10412"/>
    <cellStyle name="40% - Accent3 8 2_Note Calc" xfId="26886"/>
    <cellStyle name="40% - Accent3 8 3" xfId="11037"/>
    <cellStyle name="40% - Accent3 8 4" xfId="9724"/>
    <cellStyle name="40% - Accent3 8 5" xfId="14430"/>
    <cellStyle name="40% - Accent3 8_Forecast" xfId="22374"/>
    <cellStyle name="40% - Accent3 80" xfId="14431"/>
    <cellStyle name="40% - Accent3 81" xfId="14432"/>
    <cellStyle name="40% - Accent3 82" xfId="14433"/>
    <cellStyle name="40% - Accent3 83" xfId="14434"/>
    <cellStyle name="40% - Accent3 84" xfId="14435"/>
    <cellStyle name="40% - Accent3 85" xfId="14436"/>
    <cellStyle name="40% - Accent3 86" xfId="14437"/>
    <cellStyle name="40% - Accent3 87" xfId="14438"/>
    <cellStyle name="40% - Accent3 88" xfId="14439"/>
    <cellStyle name="40% - Accent3 89" xfId="14440"/>
    <cellStyle name="40% - Accent3 9" xfId="7596"/>
    <cellStyle name="40% - Accent3 9 2" xfId="9035"/>
    <cellStyle name="40% - Accent3 9 2 2" xfId="11726"/>
    <cellStyle name="40% - Accent3 9 2 3" xfId="10413"/>
    <cellStyle name="40% - Accent3 9 2_Note Calc" xfId="26887"/>
    <cellStyle name="40% - Accent3 9 3" xfId="11038"/>
    <cellStyle name="40% - Accent3 9 4" xfId="9725"/>
    <cellStyle name="40% - Accent3 9 5" xfId="14441"/>
    <cellStyle name="40% - Accent3 9_Forecast" xfId="22375"/>
    <cellStyle name="40% - Accent3 90" xfId="14442"/>
    <cellStyle name="40% - Accent3 91" xfId="14443"/>
    <cellStyle name="40% - Accent3 92" xfId="14444"/>
    <cellStyle name="40% - Accent3 93" xfId="14445"/>
    <cellStyle name="40% - Accent3 94" xfId="14446"/>
    <cellStyle name="40% - Accent3 95" xfId="14447"/>
    <cellStyle name="40% - Accent3 96" xfId="14448"/>
    <cellStyle name="40% - Accent3 97" xfId="14449"/>
    <cellStyle name="40% - Accent3 98" xfId="14450"/>
    <cellStyle name="40% - Accent3 99" xfId="14451"/>
    <cellStyle name="40% - Accent4" xfId="280" builtinId="43" customBuiltin="1"/>
    <cellStyle name="40% - Accent4 10" xfId="8785"/>
    <cellStyle name="40% - Accent4 10 2" xfId="11477"/>
    <cellStyle name="40% - Accent4 10 3" xfId="10164"/>
    <cellStyle name="40% - Accent4 10 4" xfId="14452"/>
    <cellStyle name="40% - Accent4 10_Note Calc" xfId="26888"/>
    <cellStyle name="40% - Accent4 100" xfId="14453"/>
    <cellStyle name="40% - Accent4 101" xfId="14454"/>
    <cellStyle name="40% - Accent4 102" xfId="14455"/>
    <cellStyle name="40% - Accent4 103" xfId="14456"/>
    <cellStyle name="40% - Accent4 104" xfId="14457"/>
    <cellStyle name="40% - Accent4 105" xfId="14458"/>
    <cellStyle name="40% - Accent4 106" xfId="14459"/>
    <cellStyle name="40% - Accent4 107" xfId="14460"/>
    <cellStyle name="40% - Accent4 108" xfId="14461"/>
    <cellStyle name="40% - Accent4 109" xfId="14462"/>
    <cellStyle name="40% - Accent4 11" xfId="10789"/>
    <cellStyle name="40% - Accent4 11 2" xfId="14463"/>
    <cellStyle name="40% - Accent4 11_Forecast" xfId="22376"/>
    <cellStyle name="40% - Accent4 110" xfId="14464"/>
    <cellStyle name="40% - Accent4 111" xfId="14465"/>
    <cellStyle name="40% - Accent4 112" xfId="14466"/>
    <cellStyle name="40% - Accent4 113" xfId="14467"/>
    <cellStyle name="40% - Accent4 114" xfId="14468"/>
    <cellStyle name="40% - Accent4 115" xfId="14469"/>
    <cellStyle name="40% - Accent4 116" xfId="14470"/>
    <cellStyle name="40% - Accent4 117" xfId="14471"/>
    <cellStyle name="40% - Accent4 118" xfId="14472"/>
    <cellStyle name="40% - Accent4 119" xfId="14473"/>
    <cellStyle name="40% - Accent4 12" xfId="9476"/>
    <cellStyle name="40% - Accent4 12 2" xfId="14474"/>
    <cellStyle name="40% - Accent4 12_Forecast" xfId="22377"/>
    <cellStyle name="40% - Accent4 120" xfId="14475"/>
    <cellStyle name="40% - Accent4 121" xfId="14476"/>
    <cellStyle name="40% - Accent4 122" xfId="14477"/>
    <cellStyle name="40% - Accent4 123" xfId="14478"/>
    <cellStyle name="40% - Accent4 124" xfId="14479"/>
    <cellStyle name="40% - Accent4 125" xfId="14480"/>
    <cellStyle name="40% - Accent4 126" xfId="14481"/>
    <cellStyle name="40% - Accent4 127" xfId="14482"/>
    <cellStyle name="40% - Accent4 128" xfId="14483"/>
    <cellStyle name="40% - Accent4 129" xfId="14484"/>
    <cellStyle name="40% - Accent4 13" xfId="12248"/>
    <cellStyle name="40% - Accent4 13 2" xfId="14485"/>
    <cellStyle name="40% - Accent4 13_Note Calc" xfId="26889"/>
    <cellStyle name="40% - Accent4 130" xfId="14486"/>
    <cellStyle name="40% - Accent4 131" xfId="14487"/>
    <cellStyle name="40% - Accent4 132" xfId="14488"/>
    <cellStyle name="40% - Accent4 133" xfId="14489"/>
    <cellStyle name="40% - Accent4 134" xfId="14490"/>
    <cellStyle name="40% - Accent4 135" xfId="14491"/>
    <cellStyle name="40% - Accent4 136" xfId="14492"/>
    <cellStyle name="40% - Accent4 137" xfId="14493"/>
    <cellStyle name="40% - Accent4 138" xfId="14494"/>
    <cellStyle name="40% - Accent4 139" xfId="14495"/>
    <cellStyle name="40% - Accent4 14" xfId="14496"/>
    <cellStyle name="40% - Accent4 140" xfId="14497"/>
    <cellStyle name="40% - Accent4 141" xfId="14498"/>
    <cellStyle name="40% - Accent4 142" xfId="14499"/>
    <cellStyle name="40% - Accent4 143" xfId="14500"/>
    <cellStyle name="40% - Accent4 144" xfId="14501"/>
    <cellStyle name="40% - Accent4 145" xfId="14502"/>
    <cellStyle name="40% - Accent4 146" xfId="14503"/>
    <cellStyle name="40% - Accent4 147" xfId="14504"/>
    <cellStyle name="40% - Accent4 148" xfId="14505"/>
    <cellStyle name="40% - Accent4 149" xfId="14506"/>
    <cellStyle name="40% - Accent4 15" xfId="14507"/>
    <cellStyle name="40% - Accent4 150" xfId="14508"/>
    <cellStyle name="40% - Accent4 151" xfId="14509"/>
    <cellStyle name="40% - Accent4 152" xfId="14510"/>
    <cellStyle name="40% - Accent4 153" xfId="14511"/>
    <cellStyle name="40% - Accent4 154" xfId="14512"/>
    <cellStyle name="40% - Accent4 155" xfId="14513"/>
    <cellStyle name="40% - Accent4 156" xfId="14514"/>
    <cellStyle name="40% - Accent4 157" xfId="14515"/>
    <cellStyle name="40% - Accent4 158" xfId="14516"/>
    <cellStyle name="40% - Accent4 159" xfId="14517"/>
    <cellStyle name="40% - Accent4 16" xfId="14518"/>
    <cellStyle name="40% - Accent4 160" xfId="14519"/>
    <cellStyle name="40% - Accent4 161" xfId="14520"/>
    <cellStyle name="40% - Accent4 162" xfId="14521"/>
    <cellStyle name="40% - Accent4 163" xfId="14522"/>
    <cellStyle name="40% - Accent4 163 2" xfId="21448"/>
    <cellStyle name="40% - Accent4 163 3" xfId="21449"/>
    <cellStyle name="40% - Accent4 163_Note Calc" xfId="26890"/>
    <cellStyle name="40% - Accent4 164" xfId="14523"/>
    <cellStyle name="40% - Accent4 165" xfId="14524"/>
    <cellStyle name="40% - Accent4 166" xfId="14525"/>
    <cellStyle name="40% - Accent4 167" xfId="14526"/>
    <cellStyle name="40% - Accent4 168" xfId="14527"/>
    <cellStyle name="40% - Accent4 169" xfId="14528"/>
    <cellStyle name="40% - Accent4 17" xfId="14529"/>
    <cellStyle name="40% - Accent4 170" xfId="14530"/>
    <cellStyle name="40% - Accent4 171" xfId="14531"/>
    <cellStyle name="40% - Accent4 172" xfId="14532"/>
    <cellStyle name="40% - Accent4 173" xfId="14533"/>
    <cellStyle name="40% - Accent4 174" xfId="14534"/>
    <cellStyle name="40% - Accent4 175" xfId="14535"/>
    <cellStyle name="40% - Accent4 176" xfId="14536"/>
    <cellStyle name="40% - Accent4 177" xfId="14537"/>
    <cellStyle name="40% - Accent4 178" xfId="14538"/>
    <cellStyle name="40% - Accent4 179" xfId="14539"/>
    <cellStyle name="40% - Accent4 18" xfId="14540"/>
    <cellStyle name="40% - Accent4 180" xfId="14541"/>
    <cellStyle name="40% - Accent4 181" xfId="14542"/>
    <cellStyle name="40% - Accent4 182" xfId="14543"/>
    <cellStyle name="40% - Accent4 183" xfId="14544"/>
    <cellStyle name="40% - Accent4 184" xfId="14545"/>
    <cellStyle name="40% - Accent4 185" xfId="14546"/>
    <cellStyle name="40% - Accent4 186" xfId="14547"/>
    <cellStyle name="40% - Accent4 187" xfId="14548"/>
    <cellStyle name="40% - Accent4 188" xfId="14549"/>
    <cellStyle name="40% - Accent4 189" xfId="14550"/>
    <cellStyle name="40% - Accent4 19" xfId="14551"/>
    <cellStyle name="40% - Accent4 190" xfId="14552"/>
    <cellStyle name="40% - Accent4 191" xfId="14553"/>
    <cellStyle name="40% - Accent4 192" xfId="14554"/>
    <cellStyle name="40% - Accent4 193" xfId="14555"/>
    <cellStyle name="40% - Accent4 194" xfId="14556"/>
    <cellStyle name="40% - Accent4 195" xfId="14557"/>
    <cellStyle name="40% - Accent4 196" xfId="14558"/>
    <cellStyle name="40% - Accent4 197" xfId="14559"/>
    <cellStyle name="40% - Accent4 198" xfId="14560"/>
    <cellStyle name="40% - Accent4 199" xfId="14561"/>
    <cellStyle name="40% - Accent4 2" xfId="281"/>
    <cellStyle name="40% - Accent4 2 10" xfId="282"/>
    <cellStyle name="40% - Accent4 2 11" xfId="283"/>
    <cellStyle name="40% - Accent4 2 12" xfId="284"/>
    <cellStyle name="40% - Accent4 2 13" xfId="285"/>
    <cellStyle name="40% - Accent4 2 14" xfId="286"/>
    <cellStyle name="40% - Accent4 2 15" xfId="287"/>
    <cellStyle name="40% - Accent4 2 16" xfId="288"/>
    <cellStyle name="40% - Accent4 2 17" xfId="289"/>
    <cellStyle name="40% - Accent4 2 18" xfId="290"/>
    <cellStyle name="40% - Accent4 2 19" xfId="291"/>
    <cellStyle name="40% - Accent4 2 2" xfId="292"/>
    <cellStyle name="40% - Accent4 2 2 2" xfId="7598"/>
    <cellStyle name="40% - Accent4 2 2 2 2" xfId="9037"/>
    <cellStyle name="40% - Accent4 2 2 2 2 2" xfId="11728"/>
    <cellStyle name="40% - Accent4 2 2 2 2 3" xfId="10415"/>
    <cellStyle name="40% - Accent4 2 2 2 2_Note Calc" xfId="26892"/>
    <cellStyle name="40% - Accent4 2 2 2 3" xfId="11040"/>
    <cellStyle name="40% - Accent4 2 2 2 4" xfId="9727"/>
    <cellStyle name="40% - Accent4 2 2 2_Forecast" xfId="22378"/>
    <cellStyle name="40% - Accent4 2 2 3" xfId="8262"/>
    <cellStyle name="40% - Accent4 2 2 3 2" xfId="9213"/>
    <cellStyle name="40% - Accent4 2 2 3 2 2" xfId="11904"/>
    <cellStyle name="40% - Accent4 2 2 3 2 3" xfId="10591"/>
    <cellStyle name="40% - Accent4 2 2 3 2_Note Calc" xfId="26893"/>
    <cellStyle name="40% - Accent4 2 2 3 3" xfId="11216"/>
    <cellStyle name="40% - Accent4 2 2 3 4" xfId="9903"/>
    <cellStyle name="40% - Accent4 2 2 3_Forecast" xfId="22379"/>
    <cellStyle name="40% - Accent4 2 2 4" xfId="8335"/>
    <cellStyle name="40% - Accent4 2 2 4 2" xfId="9258"/>
    <cellStyle name="40% - Accent4 2 2 4 2 2" xfId="11949"/>
    <cellStyle name="40% - Accent4 2 2 4 2 3" xfId="10636"/>
    <cellStyle name="40% - Accent4 2 2 4 2_Note Calc" xfId="26894"/>
    <cellStyle name="40% - Accent4 2 2 4 3" xfId="11261"/>
    <cellStyle name="40% - Accent4 2 2 4 4" xfId="9948"/>
    <cellStyle name="40% - Accent4 2 2 4_Forecast" xfId="22380"/>
    <cellStyle name="40% - Accent4 2 2 5" xfId="21450"/>
    <cellStyle name="40% - Accent4 2 2_Note Calc" xfId="26891"/>
    <cellStyle name="40% - Accent4 2 20" xfId="293"/>
    <cellStyle name="40% - Accent4 2 21" xfId="294"/>
    <cellStyle name="40% - Accent4 2 22" xfId="295"/>
    <cellStyle name="40% - Accent4 2 23" xfId="296"/>
    <cellStyle name="40% - Accent4 2 24" xfId="297"/>
    <cellStyle name="40% - Accent4 2 25" xfId="298"/>
    <cellStyle name="40% - Accent4 2 26" xfId="299"/>
    <cellStyle name="40% - Accent4 2 27" xfId="300"/>
    <cellStyle name="40% - Accent4 2 28" xfId="301"/>
    <cellStyle name="40% - Accent4 2 29" xfId="302"/>
    <cellStyle name="40% - Accent4 2 3" xfId="303"/>
    <cellStyle name="40% - Accent4 2 3 2" xfId="7599"/>
    <cellStyle name="40% - Accent4 2 3 2 2" xfId="9038"/>
    <cellStyle name="40% - Accent4 2 3 2 2 2" xfId="11729"/>
    <cellStyle name="40% - Accent4 2 3 2 2 3" xfId="10416"/>
    <cellStyle name="40% - Accent4 2 3 2 2_Note Calc" xfId="26896"/>
    <cellStyle name="40% - Accent4 2 3 2 3" xfId="11041"/>
    <cellStyle name="40% - Accent4 2 3 2 4" xfId="9728"/>
    <cellStyle name="40% - Accent4 2 3 2_Forecast" xfId="22381"/>
    <cellStyle name="40% - Accent4 2 3 3" xfId="8263"/>
    <cellStyle name="40% - Accent4 2 3 3 2" xfId="9214"/>
    <cellStyle name="40% - Accent4 2 3 3 2 2" xfId="11905"/>
    <cellStyle name="40% - Accent4 2 3 3 2 3" xfId="10592"/>
    <cellStyle name="40% - Accent4 2 3 3 2_Note Calc" xfId="26897"/>
    <cellStyle name="40% - Accent4 2 3 3 3" xfId="11217"/>
    <cellStyle name="40% - Accent4 2 3 3 4" xfId="9904"/>
    <cellStyle name="40% - Accent4 2 3 3_Forecast" xfId="22382"/>
    <cellStyle name="40% - Accent4 2 3 4" xfId="8334"/>
    <cellStyle name="40% - Accent4 2 3 4 2" xfId="9257"/>
    <cellStyle name="40% - Accent4 2 3 4 2 2" xfId="11948"/>
    <cellStyle name="40% - Accent4 2 3 4 2 3" xfId="10635"/>
    <cellStyle name="40% - Accent4 2 3 4 2_Note Calc" xfId="26898"/>
    <cellStyle name="40% - Accent4 2 3 4 3" xfId="11260"/>
    <cellStyle name="40% - Accent4 2 3 4 4" xfId="9947"/>
    <cellStyle name="40% - Accent4 2 3 4_Forecast" xfId="22383"/>
    <cellStyle name="40% - Accent4 2 3 5" xfId="21451"/>
    <cellStyle name="40% - Accent4 2 3_Note Calc" xfId="26895"/>
    <cellStyle name="40% - Accent4 2 30" xfId="304"/>
    <cellStyle name="40% - Accent4 2 31" xfId="7597"/>
    <cellStyle name="40% - Accent4 2 31 2" xfId="9036"/>
    <cellStyle name="40% - Accent4 2 31 2 2" xfId="11727"/>
    <cellStyle name="40% - Accent4 2 31 2 3" xfId="10414"/>
    <cellStyle name="40% - Accent4 2 31 2_Note Calc" xfId="26899"/>
    <cellStyle name="40% - Accent4 2 31 3" xfId="11039"/>
    <cellStyle name="40% - Accent4 2 31 4" xfId="9726"/>
    <cellStyle name="40% - Accent4 2 31_Forecast" xfId="22384"/>
    <cellStyle name="40% - Accent4 2 32" xfId="8261"/>
    <cellStyle name="40% - Accent4 2 32 2" xfId="9212"/>
    <cellStyle name="40% - Accent4 2 32 2 2" xfId="11903"/>
    <cellStyle name="40% - Accent4 2 32 2 3" xfId="10590"/>
    <cellStyle name="40% - Accent4 2 32 2_Note Calc" xfId="26900"/>
    <cellStyle name="40% - Accent4 2 32 3" xfId="11215"/>
    <cellStyle name="40% - Accent4 2 32 4" xfId="9902"/>
    <cellStyle name="40% - Accent4 2 32_Forecast" xfId="22385"/>
    <cellStyle name="40% - Accent4 2 33" xfId="8336"/>
    <cellStyle name="40% - Accent4 2 33 2" xfId="9259"/>
    <cellStyle name="40% - Accent4 2 33 2 2" xfId="11950"/>
    <cellStyle name="40% - Accent4 2 33 2 3" xfId="10637"/>
    <cellStyle name="40% - Accent4 2 33 2_Note Calc" xfId="26901"/>
    <cellStyle name="40% - Accent4 2 33 3" xfId="11262"/>
    <cellStyle name="40% - Accent4 2 33 4" xfId="9949"/>
    <cellStyle name="40% - Accent4 2 33_Forecast" xfId="22386"/>
    <cellStyle name="40% - Accent4 2 34" xfId="12108"/>
    <cellStyle name="40% - Accent4 2 35" xfId="14562"/>
    <cellStyle name="40% - Accent4 2 36" xfId="26902"/>
    <cellStyle name="40% - Accent4 2 4" xfId="305"/>
    <cellStyle name="40% - Accent4 2 4 2" xfId="7600"/>
    <cellStyle name="40% - Accent4 2 4 2 2" xfId="9039"/>
    <cellStyle name="40% - Accent4 2 4 2 2 2" xfId="11730"/>
    <cellStyle name="40% - Accent4 2 4 2 2 3" xfId="10417"/>
    <cellStyle name="40% - Accent4 2 4 2 2_Note Calc" xfId="26904"/>
    <cellStyle name="40% - Accent4 2 4 2 3" xfId="11042"/>
    <cellStyle name="40% - Accent4 2 4 2 4" xfId="9729"/>
    <cellStyle name="40% - Accent4 2 4 2_Forecast" xfId="22387"/>
    <cellStyle name="40% - Accent4 2 4 3" xfId="8264"/>
    <cellStyle name="40% - Accent4 2 4 3 2" xfId="9215"/>
    <cellStyle name="40% - Accent4 2 4 3 2 2" xfId="11906"/>
    <cellStyle name="40% - Accent4 2 4 3 2 3" xfId="10593"/>
    <cellStyle name="40% - Accent4 2 4 3 2_Note Calc" xfId="26905"/>
    <cellStyle name="40% - Accent4 2 4 3 3" xfId="11218"/>
    <cellStyle name="40% - Accent4 2 4 3 4" xfId="9905"/>
    <cellStyle name="40% - Accent4 2 4 3_Forecast" xfId="22388"/>
    <cellStyle name="40% - Accent4 2 4 4" xfId="8333"/>
    <cellStyle name="40% - Accent4 2 4 4 2" xfId="9256"/>
    <cellStyle name="40% - Accent4 2 4 4 2 2" xfId="11947"/>
    <cellStyle name="40% - Accent4 2 4 4 2 3" xfId="10634"/>
    <cellStyle name="40% - Accent4 2 4 4 2_Note Calc" xfId="26906"/>
    <cellStyle name="40% - Accent4 2 4 4 3" xfId="11259"/>
    <cellStyle name="40% - Accent4 2 4 4 4" xfId="9946"/>
    <cellStyle name="40% - Accent4 2 4 4_Forecast" xfId="22389"/>
    <cellStyle name="40% - Accent4 2 4 5" xfId="21452"/>
    <cellStyle name="40% - Accent4 2 4_Note Calc" xfId="26903"/>
    <cellStyle name="40% - Accent4 2 5" xfId="306"/>
    <cellStyle name="40% - Accent4 2 5 2" xfId="7601"/>
    <cellStyle name="40% - Accent4 2 5 2 2" xfId="9040"/>
    <cellStyle name="40% - Accent4 2 5 2 2 2" xfId="11731"/>
    <cellStyle name="40% - Accent4 2 5 2 2 3" xfId="10418"/>
    <cellStyle name="40% - Accent4 2 5 2 2_Note Calc" xfId="26908"/>
    <cellStyle name="40% - Accent4 2 5 2 3" xfId="11043"/>
    <cellStyle name="40% - Accent4 2 5 2 4" xfId="9730"/>
    <cellStyle name="40% - Accent4 2 5 2_Forecast" xfId="22390"/>
    <cellStyle name="40% - Accent4 2 5 3" xfId="8265"/>
    <cellStyle name="40% - Accent4 2 5 3 2" xfId="9216"/>
    <cellStyle name="40% - Accent4 2 5 3 2 2" xfId="11907"/>
    <cellStyle name="40% - Accent4 2 5 3 2 3" xfId="10594"/>
    <cellStyle name="40% - Accent4 2 5 3 2_Note Calc" xfId="26909"/>
    <cellStyle name="40% - Accent4 2 5 3 3" xfId="11219"/>
    <cellStyle name="40% - Accent4 2 5 3 4" xfId="9906"/>
    <cellStyle name="40% - Accent4 2 5 3_Forecast" xfId="22391"/>
    <cellStyle name="40% - Accent4 2 5 4" xfId="8332"/>
    <cellStyle name="40% - Accent4 2 5 4 2" xfId="9255"/>
    <cellStyle name="40% - Accent4 2 5 4 2 2" xfId="11946"/>
    <cellStyle name="40% - Accent4 2 5 4 2 3" xfId="10633"/>
    <cellStyle name="40% - Accent4 2 5 4 2_Note Calc" xfId="26910"/>
    <cellStyle name="40% - Accent4 2 5 4 3" xfId="11258"/>
    <cellStyle name="40% - Accent4 2 5 4 4" xfId="9945"/>
    <cellStyle name="40% - Accent4 2 5 4_Forecast" xfId="22392"/>
    <cellStyle name="40% - Accent4 2 5_Note Calc" xfId="26907"/>
    <cellStyle name="40% - Accent4 2 6" xfId="307"/>
    <cellStyle name="40% - Accent4 2 6 2" xfId="7602"/>
    <cellStyle name="40% - Accent4 2 6 2 2" xfId="9041"/>
    <cellStyle name="40% - Accent4 2 6 2 2 2" xfId="11732"/>
    <cellStyle name="40% - Accent4 2 6 2 2 3" xfId="10419"/>
    <cellStyle name="40% - Accent4 2 6 2 2_Note Calc" xfId="26912"/>
    <cellStyle name="40% - Accent4 2 6 2 3" xfId="11044"/>
    <cellStyle name="40% - Accent4 2 6 2 4" xfId="9731"/>
    <cellStyle name="40% - Accent4 2 6 2_Forecast" xfId="22393"/>
    <cellStyle name="40% - Accent4 2 6 3" xfId="8266"/>
    <cellStyle name="40% - Accent4 2 6 3 2" xfId="9217"/>
    <cellStyle name="40% - Accent4 2 6 3 2 2" xfId="11908"/>
    <cellStyle name="40% - Accent4 2 6 3 2 3" xfId="10595"/>
    <cellStyle name="40% - Accent4 2 6 3 2_Note Calc" xfId="26913"/>
    <cellStyle name="40% - Accent4 2 6 3 3" xfId="11220"/>
    <cellStyle name="40% - Accent4 2 6 3 4" xfId="9907"/>
    <cellStyle name="40% - Accent4 2 6 3_Forecast" xfId="22394"/>
    <cellStyle name="40% - Accent4 2 6 4" xfId="8331"/>
    <cellStyle name="40% - Accent4 2 6 4 2" xfId="9254"/>
    <cellStyle name="40% - Accent4 2 6 4 2 2" xfId="11945"/>
    <cellStyle name="40% - Accent4 2 6 4 2 3" xfId="10632"/>
    <cellStyle name="40% - Accent4 2 6 4 2_Note Calc" xfId="26914"/>
    <cellStyle name="40% - Accent4 2 6 4 3" xfId="11257"/>
    <cellStyle name="40% - Accent4 2 6 4 4" xfId="9944"/>
    <cellStyle name="40% - Accent4 2 6 4_Forecast" xfId="22395"/>
    <cellStyle name="40% - Accent4 2 6_Note Calc" xfId="26911"/>
    <cellStyle name="40% - Accent4 2 7" xfId="308"/>
    <cellStyle name="40% - Accent4 2 7 2" xfId="7603"/>
    <cellStyle name="40% - Accent4 2 7 2 2" xfId="9042"/>
    <cellStyle name="40% - Accent4 2 7 2 2 2" xfId="11733"/>
    <cellStyle name="40% - Accent4 2 7 2 2 3" xfId="10420"/>
    <cellStyle name="40% - Accent4 2 7 2 2_Note Calc" xfId="26916"/>
    <cellStyle name="40% - Accent4 2 7 2 3" xfId="11045"/>
    <cellStyle name="40% - Accent4 2 7 2 4" xfId="9732"/>
    <cellStyle name="40% - Accent4 2 7 2_Forecast" xfId="22396"/>
    <cellStyle name="40% - Accent4 2 7 3" xfId="8267"/>
    <cellStyle name="40% - Accent4 2 7 3 2" xfId="9218"/>
    <cellStyle name="40% - Accent4 2 7 3 2 2" xfId="11909"/>
    <cellStyle name="40% - Accent4 2 7 3 2 3" xfId="10596"/>
    <cellStyle name="40% - Accent4 2 7 3 2_Note Calc" xfId="26917"/>
    <cellStyle name="40% - Accent4 2 7 3 3" xfId="11221"/>
    <cellStyle name="40% - Accent4 2 7 3 4" xfId="9908"/>
    <cellStyle name="40% - Accent4 2 7 3_Forecast" xfId="22397"/>
    <cellStyle name="40% - Accent4 2 7 4" xfId="8330"/>
    <cellStyle name="40% - Accent4 2 7 4 2" xfId="9253"/>
    <cellStyle name="40% - Accent4 2 7 4 2 2" xfId="11944"/>
    <cellStyle name="40% - Accent4 2 7 4 2 3" xfId="10631"/>
    <cellStyle name="40% - Accent4 2 7 4 2_Note Calc" xfId="26918"/>
    <cellStyle name="40% - Accent4 2 7 4 3" xfId="11256"/>
    <cellStyle name="40% - Accent4 2 7 4 4" xfId="9943"/>
    <cellStyle name="40% - Accent4 2 7 4_Forecast" xfId="22398"/>
    <cellStyle name="40% - Accent4 2 7_Note Calc" xfId="26915"/>
    <cellStyle name="40% - Accent4 2 8" xfId="309"/>
    <cellStyle name="40% - Accent4 2 9" xfId="310"/>
    <cellStyle name="40% - Accent4 2_Forecast" xfId="22399"/>
    <cellStyle name="40% - Accent4 20" xfId="14563"/>
    <cellStyle name="40% - Accent4 200" xfId="14564"/>
    <cellStyle name="40% - Accent4 201" xfId="14565"/>
    <cellStyle name="40% - Accent4 202" xfId="14566"/>
    <cellStyle name="40% - Accent4 203" xfId="14567"/>
    <cellStyle name="40% - Accent4 204" xfId="14568"/>
    <cellStyle name="40% - Accent4 205" xfId="14569"/>
    <cellStyle name="40% - Accent4 206" xfId="14570"/>
    <cellStyle name="40% - Accent4 207" xfId="14571"/>
    <cellStyle name="40% - Accent4 208" xfId="14572"/>
    <cellStyle name="40% - Accent4 209" xfId="14573"/>
    <cellStyle name="40% - Accent4 21" xfId="14574"/>
    <cellStyle name="40% - Accent4 210" xfId="14575"/>
    <cellStyle name="40% - Accent4 211" xfId="14576"/>
    <cellStyle name="40% - Accent4 212" xfId="14577"/>
    <cellStyle name="40% - Accent4 213" xfId="14578"/>
    <cellStyle name="40% - Accent4 214" xfId="14579"/>
    <cellStyle name="40% - Accent4 215" xfId="14580"/>
    <cellStyle name="40% - Accent4 216" xfId="14581"/>
    <cellStyle name="40% - Accent4 217" xfId="14582"/>
    <cellStyle name="40% - Accent4 218" xfId="14583"/>
    <cellStyle name="40% - Accent4 219" xfId="14584"/>
    <cellStyle name="40% - Accent4 22" xfId="14585"/>
    <cellStyle name="40% - Accent4 220" xfId="14586"/>
    <cellStyle name="40% - Accent4 221" xfId="14587"/>
    <cellStyle name="40% - Accent4 222" xfId="14588"/>
    <cellStyle name="40% - Accent4 223" xfId="14589"/>
    <cellStyle name="40% - Accent4 224" xfId="14590"/>
    <cellStyle name="40% - Accent4 225" xfId="14591"/>
    <cellStyle name="40% - Accent4 226" xfId="14592"/>
    <cellStyle name="40% - Accent4 227" xfId="14593"/>
    <cellStyle name="40% - Accent4 228" xfId="14594"/>
    <cellStyle name="40% - Accent4 229" xfId="14595"/>
    <cellStyle name="40% - Accent4 23" xfId="14596"/>
    <cellStyle name="40% - Accent4 230" xfId="14597"/>
    <cellStyle name="40% - Accent4 231" xfId="14598"/>
    <cellStyle name="40% - Accent4 232" xfId="14599"/>
    <cellStyle name="40% - Accent4 233" xfId="14600"/>
    <cellStyle name="40% - Accent4 234" xfId="14601"/>
    <cellStyle name="40% - Accent4 235" xfId="14602"/>
    <cellStyle name="40% - Accent4 236" xfId="14603"/>
    <cellStyle name="40% - Accent4 237" xfId="14604"/>
    <cellStyle name="40% - Accent4 238" xfId="14605"/>
    <cellStyle name="40% - Accent4 239" xfId="14606"/>
    <cellStyle name="40% - Accent4 24" xfId="14607"/>
    <cellStyle name="40% - Accent4 240" xfId="14608"/>
    <cellStyle name="40% - Accent4 241" xfId="14609"/>
    <cellStyle name="40% - Accent4 242" xfId="14610"/>
    <cellStyle name="40% - Accent4 243" xfId="14611"/>
    <cellStyle name="40% - Accent4 244" xfId="14612"/>
    <cellStyle name="40% - Accent4 245" xfId="21453"/>
    <cellStyle name="40% - Accent4 246" xfId="21454"/>
    <cellStyle name="40% - Accent4 247" xfId="21455"/>
    <cellStyle name="40% - Accent4 248" xfId="21456"/>
    <cellStyle name="40% - Accent4 249" xfId="21457"/>
    <cellStyle name="40% - Accent4 25" xfId="14613"/>
    <cellStyle name="40% - Accent4 250" xfId="21458"/>
    <cellStyle name="40% - Accent4 251" xfId="21459"/>
    <cellStyle name="40% - Accent4 252" xfId="21460"/>
    <cellStyle name="40% - Accent4 253" xfId="21461"/>
    <cellStyle name="40% - Accent4 254" xfId="21462"/>
    <cellStyle name="40% - Accent4 255" xfId="21463"/>
    <cellStyle name="40% - Accent4 256" xfId="21464"/>
    <cellStyle name="40% - Accent4 257" xfId="21465"/>
    <cellStyle name="40% - Accent4 258" xfId="21812"/>
    <cellStyle name="40% - Accent4 259" xfId="21813"/>
    <cellStyle name="40% - Accent4 26" xfId="14614"/>
    <cellStyle name="40% - Accent4 260" xfId="21814"/>
    <cellStyle name="40% - Accent4 261" xfId="21815"/>
    <cellStyle name="40% - Accent4 262" xfId="21736"/>
    <cellStyle name="40% - Accent4 263" xfId="21979"/>
    <cellStyle name="40% - Accent4 264" xfId="21891"/>
    <cellStyle name="40% - Accent4 265" xfId="26919"/>
    <cellStyle name="40% - Accent4 27" xfId="14615"/>
    <cellStyle name="40% - Accent4 28" xfId="14616"/>
    <cellStyle name="40% - Accent4 29" xfId="14617"/>
    <cellStyle name="40% - Accent4 3" xfId="7417"/>
    <cellStyle name="40% - Accent4 3 10" xfId="8859"/>
    <cellStyle name="40% - Accent4 3 10 2" xfId="11550"/>
    <cellStyle name="40% - Accent4 3 10 3" xfId="10237"/>
    <cellStyle name="40% - Accent4 3 10_Note Calc" xfId="26920"/>
    <cellStyle name="40% - Accent4 3 11" xfId="10862"/>
    <cellStyle name="40% - Accent4 3 12" xfId="9549"/>
    <cellStyle name="40% - Accent4 3 12 2" xfId="22400"/>
    <cellStyle name="40% - Accent4 3 12_Forecast" xfId="22401"/>
    <cellStyle name="40% - Accent4 3 13" xfId="14618"/>
    <cellStyle name="40% - Accent4 3 14" xfId="22402"/>
    <cellStyle name="40% - Accent4 3 2" xfId="7604"/>
    <cellStyle name="40% - Accent4 3 2 2" xfId="9043"/>
    <cellStyle name="40% - Accent4 3 2 2 2" xfId="11734"/>
    <cellStyle name="40% - Accent4 3 2 2 3" xfId="10421"/>
    <cellStyle name="40% - Accent4 3 2 2_Note Calc" xfId="26921"/>
    <cellStyle name="40% - Accent4 3 2 3" xfId="11046"/>
    <cellStyle name="40% - Accent4 3 2 4" xfId="9733"/>
    <cellStyle name="40% - Accent4 3 2_Forecast" xfId="22403"/>
    <cellStyle name="40% - Accent4 3 3" xfId="7605"/>
    <cellStyle name="40% - Accent4 3 3 2" xfId="9044"/>
    <cellStyle name="40% - Accent4 3 3 2 2" xfId="11735"/>
    <cellStyle name="40% - Accent4 3 3 2 3" xfId="10422"/>
    <cellStyle name="40% - Accent4 3 3 2_Note Calc" xfId="26922"/>
    <cellStyle name="40% - Accent4 3 3 3" xfId="11047"/>
    <cellStyle name="40% - Accent4 3 3 4" xfId="9734"/>
    <cellStyle name="40% - Accent4 3 3_Forecast" xfId="22404"/>
    <cellStyle name="40% - Accent4 3 4" xfId="7606"/>
    <cellStyle name="40% - Accent4 3 4 2" xfId="9045"/>
    <cellStyle name="40% - Accent4 3 4 2 2" xfId="11736"/>
    <cellStyle name="40% - Accent4 3 4 2 3" xfId="10423"/>
    <cellStyle name="40% - Accent4 3 4 2_Note Calc" xfId="26923"/>
    <cellStyle name="40% - Accent4 3 4 3" xfId="11048"/>
    <cellStyle name="40% - Accent4 3 4 4" xfId="9735"/>
    <cellStyle name="40% - Accent4 3 4_Forecast" xfId="22405"/>
    <cellStyle name="40% - Accent4 3 5" xfId="7607"/>
    <cellStyle name="40% - Accent4 3 5 2" xfId="9046"/>
    <cellStyle name="40% - Accent4 3 5 2 2" xfId="11737"/>
    <cellStyle name="40% - Accent4 3 5 2 3" xfId="10424"/>
    <cellStyle name="40% - Accent4 3 5 2_Note Calc" xfId="26924"/>
    <cellStyle name="40% - Accent4 3 5 3" xfId="11049"/>
    <cellStyle name="40% - Accent4 3 5 4" xfId="9736"/>
    <cellStyle name="40% - Accent4 3 5_Forecast" xfId="22406"/>
    <cellStyle name="40% - Accent4 3 6" xfId="7608"/>
    <cellStyle name="40% - Accent4 3 6 2" xfId="9047"/>
    <cellStyle name="40% - Accent4 3 6 2 2" xfId="11738"/>
    <cellStyle name="40% - Accent4 3 6 2 3" xfId="10425"/>
    <cellStyle name="40% - Accent4 3 6 2_Note Calc" xfId="26925"/>
    <cellStyle name="40% - Accent4 3 6 3" xfId="11050"/>
    <cellStyle name="40% - Accent4 3 6 4" xfId="9737"/>
    <cellStyle name="40% - Accent4 3 6_Forecast" xfId="22407"/>
    <cellStyle name="40% - Accent4 3 7" xfId="7609"/>
    <cellStyle name="40% - Accent4 3 7 2" xfId="9048"/>
    <cellStyle name="40% - Accent4 3 7 2 2" xfId="11739"/>
    <cellStyle name="40% - Accent4 3 7 2 3" xfId="10426"/>
    <cellStyle name="40% - Accent4 3 7 2_Note Calc" xfId="26926"/>
    <cellStyle name="40% - Accent4 3 7 3" xfId="11051"/>
    <cellStyle name="40% - Accent4 3 7 4" xfId="9738"/>
    <cellStyle name="40% - Accent4 3 7_Forecast" xfId="22408"/>
    <cellStyle name="40% - Accent4 3 8" xfId="8268"/>
    <cellStyle name="40% - Accent4 3 8 2" xfId="9219"/>
    <cellStyle name="40% - Accent4 3 8 2 2" xfId="11910"/>
    <cellStyle name="40% - Accent4 3 8 2 3" xfId="10597"/>
    <cellStyle name="40% - Accent4 3 8 2_Note Calc" xfId="26927"/>
    <cellStyle name="40% - Accent4 3 8 3" xfId="11222"/>
    <cellStyle name="40% - Accent4 3 8 4" xfId="9909"/>
    <cellStyle name="40% - Accent4 3 8_Forecast" xfId="22409"/>
    <cellStyle name="40% - Accent4 3 9" xfId="8328"/>
    <cellStyle name="40% - Accent4 3 9 2" xfId="9252"/>
    <cellStyle name="40% - Accent4 3 9 2 2" xfId="11943"/>
    <cellStyle name="40% - Accent4 3 9 2 3" xfId="10630"/>
    <cellStyle name="40% - Accent4 3 9 2_Note Calc" xfId="26928"/>
    <cellStyle name="40% - Accent4 3 9 3" xfId="11255"/>
    <cellStyle name="40% - Accent4 3 9 4" xfId="9942"/>
    <cellStyle name="40% - Accent4 3 9_Forecast" xfId="22410"/>
    <cellStyle name="40% - Accent4 3_Forecast" xfId="22411"/>
    <cellStyle name="40% - Accent4 30" xfId="14619"/>
    <cellStyle name="40% - Accent4 31" xfId="14620"/>
    <cellStyle name="40% - Accent4 32" xfId="14621"/>
    <cellStyle name="40% - Accent4 33" xfId="14622"/>
    <cellStyle name="40% - Accent4 34" xfId="14623"/>
    <cellStyle name="40% - Accent4 35" xfId="14624"/>
    <cellStyle name="40% - Accent4 36" xfId="14625"/>
    <cellStyle name="40% - Accent4 37" xfId="14626"/>
    <cellStyle name="40% - Accent4 38" xfId="14627"/>
    <cellStyle name="40% - Accent4 39" xfId="14628"/>
    <cellStyle name="40% - Accent4 4" xfId="7610"/>
    <cellStyle name="40% - Accent4 4 2" xfId="9049"/>
    <cellStyle name="40% - Accent4 4 2 2" xfId="11740"/>
    <cellStyle name="40% - Accent4 4 2 3" xfId="10427"/>
    <cellStyle name="40% - Accent4 4 2_Note Calc" xfId="26929"/>
    <cellStyle name="40% - Accent4 4 3" xfId="11052"/>
    <cellStyle name="40% - Accent4 4 4" xfId="9739"/>
    <cellStyle name="40% - Accent4 4 5" xfId="14629"/>
    <cellStyle name="40% - Accent4 4_Forecast" xfId="22412"/>
    <cellStyle name="40% - Accent4 40" xfId="14630"/>
    <cellStyle name="40% - Accent4 41" xfId="14631"/>
    <cellStyle name="40% - Accent4 42" xfId="14632"/>
    <cellStyle name="40% - Accent4 43" xfId="14633"/>
    <cellStyle name="40% - Accent4 44" xfId="14634"/>
    <cellStyle name="40% - Accent4 45" xfId="14635"/>
    <cellStyle name="40% - Accent4 46" xfId="14636"/>
    <cellStyle name="40% - Accent4 47" xfId="14637"/>
    <cellStyle name="40% - Accent4 48" xfId="14638"/>
    <cellStyle name="40% - Accent4 49" xfId="14639"/>
    <cellStyle name="40% - Accent4 5" xfId="7611"/>
    <cellStyle name="40% - Accent4 5 2" xfId="9050"/>
    <cellStyle name="40% - Accent4 5 2 2" xfId="11741"/>
    <cellStyle name="40% - Accent4 5 2 3" xfId="10428"/>
    <cellStyle name="40% - Accent4 5 2_Note Calc" xfId="26930"/>
    <cellStyle name="40% - Accent4 5 3" xfId="11053"/>
    <cellStyle name="40% - Accent4 5 4" xfId="9740"/>
    <cellStyle name="40% - Accent4 5 5" xfId="14640"/>
    <cellStyle name="40% - Accent4 5_Forecast" xfId="22413"/>
    <cellStyle name="40% - Accent4 50" xfId="14641"/>
    <cellStyle name="40% - Accent4 51" xfId="14642"/>
    <cellStyle name="40% - Accent4 52" xfId="14643"/>
    <cellStyle name="40% - Accent4 53" xfId="14644"/>
    <cellStyle name="40% - Accent4 54" xfId="14645"/>
    <cellStyle name="40% - Accent4 55" xfId="14646"/>
    <cellStyle name="40% - Accent4 56" xfId="14647"/>
    <cellStyle name="40% - Accent4 57" xfId="14648"/>
    <cellStyle name="40% - Accent4 58" xfId="14649"/>
    <cellStyle name="40% - Accent4 59" xfId="14650"/>
    <cellStyle name="40% - Accent4 6" xfId="7612"/>
    <cellStyle name="40% - Accent4 6 2" xfId="9051"/>
    <cellStyle name="40% - Accent4 6 2 2" xfId="11742"/>
    <cellStyle name="40% - Accent4 6 2 3" xfId="10429"/>
    <cellStyle name="40% - Accent4 6 2_Note Calc" xfId="26931"/>
    <cellStyle name="40% - Accent4 6 3" xfId="11054"/>
    <cellStyle name="40% - Accent4 6 4" xfId="9741"/>
    <cellStyle name="40% - Accent4 6 5" xfId="14651"/>
    <cellStyle name="40% - Accent4 6_Forecast" xfId="22414"/>
    <cellStyle name="40% - Accent4 60" xfId="14652"/>
    <cellStyle name="40% - Accent4 61" xfId="14653"/>
    <cellStyle name="40% - Accent4 62" xfId="14654"/>
    <cellStyle name="40% - Accent4 63" xfId="14655"/>
    <cellStyle name="40% - Accent4 64" xfId="14656"/>
    <cellStyle name="40% - Accent4 65" xfId="14657"/>
    <cellStyle name="40% - Accent4 66" xfId="14658"/>
    <cellStyle name="40% - Accent4 67" xfId="14659"/>
    <cellStyle name="40% - Accent4 68" xfId="14660"/>
    <cellStyle name="40% - Accent4 69" xfId="14661"/>
    <cellStyle name="40% - Accent4 7" xfId="7613"/>
    <cellStyle name="40% - Accent4 7 2" xfId="9052"/>
    <cellStyle name="40% - Accent4 7 2 2" xfId="11743"/>
    <cellStyle name="40% - Accent4 7 2 3" xfId="10430"/>
    <cellStyle name="40% - Accent4 7 2_Note Calc" xfId="26932"/>
    <cellStyle name="40% - Accent4 7 3" xfId="11055"/>
    <cellStyle name="40% - Accent4 7 4" xfId="9742"/>
    <cellStyle name="40% - Accent4 7 5" xfId="14662"/>
    <cellStyle name="40% - Accent4 7_Forecast" xfId="22415"/>
    <cellStyle name="40% - Accent4 70" xfId="14663"/>
    <cellStyle name="40% - Accent4 71" xfId="14664"/>
    <cellStyle name="40% - Accent4 72" xfId="14665"/>
    <cellStyle name="40% - Accent4 73" xfId="14666"/>
    <cellStyle name="40% - Accent4 74" xfId="14667"/>
    <cellStyle name="40% - Accent4 75" xfId="14668"/>
    <cellStyle name="40% - Accent4 76" xfId="14669"/>
    <cellStyle name="40% - Accent4 77" xfId="14670"/>
    <cellStyle name="40% - Accent4 78" xfId="14671"/>
    <cellStyle name="40% - Accent4 79" xfId="14672"/>
    <cellStyle name="40% - Accent4 8" xfId="7614"/>
    <cellStyle name="40% - Accent4 8 2" xfId="9053"/>
    <cellStyle name="40% - Accent4 8 2 2" xfId="11744"/>
    <cellStyle name="40% - Accent4 8 2 3" xfId="10431"/>
    <cellStyle name="40% - Accent4 8 2_Note Calc" xfId="26933"/>
    <cellStyle name="40% - Accent4 8 3" xfId="11056"/>
    <cellStyle name="40% - Accent4 8 4" xfId="9743"/>
    <cellStyle name="40% - Accent4 8 5" xfId="14673"/>
    <cellStyle name="40% - Accent4 8_Forecast" xfId="22416"/>
    <cellStyle name="40% - Accent4 80" xfId="14674"/>
    <cellStyle name="40% - Accent4 81" xfId="14675"/>
    <cellStyle name="40% - Accent4 82" xfId="14676"/>
    <cellStyle name="40% - Accent4 83" xfId="14677"/>
    <cellStyle name="40% - Accent4 84" xfId="14678"/>
    <cellStyle name="40% - Accent4 85" xfId="14679"/>
    <cellStyle name="40% - Accent4 86" xfId="14680"/>
    <cellStyle name="40% - Accent4 87" xfId="14681"/>
    <cellStyle name="40% - Accent4 88" xfId="14682"/>
    <cellStyle name="40% - Accent4 89" xfId="14683"/>
    <cellStyle name="40% - Accent4 9" xfId="7615"/>
    <cellStyle name="40% - Accent4 9 2" xfId="9054"/>
    <cellStyle name="40% - Accent4 9 2 2" xfId="11745"/>
    <cellStyle name="40% - Accent4 9 2 3" xfId="10432"/>
    <cellStyle name="40% - Accent4 9 2_Note Calc" xfId="26934"/>
    <cellStyle name="40% - Accent4 9 3" xfId="11057"/>
    <cellStyle name="40% - Accent4 9 4" xfId="9744"/>
    <cellStyle name="40% - Accent4 9 5" xfId="14684"/>
    <cellStyle name="40% - Accent4 9_Forecast" xfId="22417"/>
    <cellStyle name="40% - Accent4 90" xfId="14685"/>
    <cellStyle name="40% - Accent4 91" xfId="14686"/>
    <cellStyle name="40% - Accent4 92" xfId="14687"/>
    <cellStyle name="40% - Accent4 93" xfId="14688"/>
    <cellStyle name="40% - Accent4 94" xfId="14689"/>
    <cellStyle name="40% - Accent4 95" xfId="14690"/>
    <cellStyle name="40% - Accent4 96" xfId="14691"/>
    <cellStyle name="40% - Accent4 97" xfId="14692"/>
    <cellStyle name="40% - Accent4 98" xfId="14693"/>
    <cellStyle name="40% - Accent4 99" xfId="14694"/>
    <cellStyle name="40% - Accent5" xfId="311" builtinId="47" customBuiltin="1"/>
    <cellStyle name="40% - Accent5 10" xfId="8786"/>
    <cellStyle name="40% - Accent5 10 2" xfId="11478"/>
    <cellStyle name="40% - Accent5 10 3" xfId="10165"/>
    <cellStyle name="40% - Accent5 10 4" xfId="14695"/>
    <cellStyle name="40% - Accent5 10_Note Calc" xfId="26935"/>
    <cellStyle name="40% - Accent5 100" xfId="14696"/>
    <cellStyle name="40% - Accent5 101" xfId="14697"/>
    <cellStyle name="40% - Accent5 102" xfId="14698"/>
    <cellStyle name="40% - Accent5 103" xfId="14699"/>
    <cellStyle name="40% - Accent5 104" xfId="14700"/>
    <cellStyle name="40% - Accent5 105" xfId="14701"/>
    <cellStyle name="40% - Accent5 106" xfId="14702"/>
    <cellStyle name="40% - Accent5 107" xfId="14703"/>
    <cellStyle name="40% - Accent5 108" xfId="14704"/>
    <cellStyle name="40% - Accent5 109" xfId="14705"/>
    <cellStyle name="40% - Accent5 11" xfId="10790"/>
    <cellStyle name="40% - Accent5 11 2" xfId="14706"/>
    <cellStyle name="40% - Accent5 11_Forecast" xfId="22418"/>
    <cellStyle name="40% - Accent5 110" xfId="14707"/>
    <cellStyle name="40% - Accent5 111" xfId="14708"/>
    <cellStyle name="40% - Accent5 112" xfId="14709"/>
    <cellStyle name="40% - Accent5 113" xfId="14710"/>
    <cellStyle name="40% - Accent5 114" xfId="14711"/>
    <cellStyle name="40% - Accent5 115" xfId="14712"/>
    <cellStyle name="40% - Accent5 116" xfId="14713"/>
    <cellStyle name="40% - Accent5 117" xfId="14714"/>
    <cellStyle name="40% - Accent5 118" xfId="14715"/>
    <cellStyle name="40% - Accent5 119" xfId="14716"/>
    <cellStyle name="40% - Accent5 12" xfId="9477"/>
    <cellStyle name="40% - Accent5 12 2" xfId="14717"/>
    <cellStyle name="40% - Accent5 12_Forecast" xfId="22419"/>
    <cellStyle name="40% - Accent5 120" xfId="14718"/>
    <cellStyle name="40% - Accent5 121" xfId="14719"/>
    <cellStyle name="40% - Accent5 122" xfId="14720"/>
    <cellStyle name="40% - Accent5 123" xfId="14721"/>
    <cellStyle name="40% - Accent5 124" xfId="14722"/>
    <cellStyle name="40% - Accent5 125" xfId="14723"/>
    <cellStyle name="40% - Accent5 126" xfId="14724"/>
    <cellStyle name="40% - Accent5 127" xfId="14725"/>
    <cellStyle name="40% - Accent5 128" xfId="14726"/>
    <cellStyle name="40% - Accent5 129" xfId="14727"/>
    <cellStyle name="40% - Accent5 13" xfId="12252"/>
    <cellStyle name="40% - Accent5 13 2" xfId="14728"/>
    <cellStyle name="40% - Accent5 13_Note Calc" xfId="26936"/>
    <cellStyle name="40% - Accent5 130" xfId="14729"/>
    <cellStyle name="40% - Accent5 131" xfId="14730"/>
    <cellStyle name="40% - Accent5 132" xfId="14731"/>
    <cellStyle name="40% - Accent5 133" xfId="14732"/>
    <cellStyle name="40% - Accent5 134" xfId="14733"/>
    <cellStyle name="40% - Accent5 135" xfId="14734"/>
    <cellStyle name="40% - Accent5 136" xfId="14735"/>
    <cellStyle name="40% - Accent5 137" xfId="14736"/>
    <cellStyle name="40% - Accent5 138" xfId="14737"/>
    <cellStyle name="40% - Accent5 139" xfId="14738"/>
    <cellStyle name="40% - Accent5 14" xfId="14739"/>
    <cellStyle name="40% - Accent5 140" xfId="14740"/>
    <cellStyle name="40% - Accent5 141" xfId="14741"/>
    <cellStyle name="40% - Accent5 142" xfId="14742"/>
    <cellStyle name="40% - Accent5 143" xfId="14743"/>
    <cellStyle name="40% - Accent5 144" xfId="14744"/>
    <cellStyle name="40% - Accent5 145" xfId="14745"/>
    <cellStyle name="40% - Accent5 146" xfId="14746"/>
    <cellStyle name="40% - Accent5 147" xfId="14747"/>
    <cellStyle name="40% - Accent5 148" xfId="14748"/>
    <cellStyle name="40% - Accent5 149" xfId="14749"/>
    <cellStyle name="40% - Accent5 15" xfId="14750"/>
    <cellStyle name="40% - Accent5 150" xfId="14751"/>
    <cellStyle name="40% - Accent5 151" xfId="14752"/>
    <cellStyle name="40% - Accent5 152" xfId="14753"/>
    <cellStyle name="40% - Accent5 153" xfId="14754"/>
    <cellStyle name="40% - Accent5 154" xfId="14755"/>
    <cellStyle name="40% - Accent5 155" xfId="14756"/>
    <cellStyle name="40% - Accent5 156" xfId="14757"/>
    <cellStyle name="40% - Accent5 157" xfId="14758"/>
    <cellStyle name="40% - Accent5 158" xfId="14759"/>
    <cellStyle name="40% - Accent5 159" xfId="14760"/>
    <cellStyle name="40% - Accent5 16" xfId="14761"/>
    <cellStyle name="40% - Accent5 160" xfId="14762"/>
    <cellStyle name="40% - Accent5 161" xfId="14763"/>
    <cellStyle name="40% - Accent5 162" xfId="14764"/>
    <cellStyle name="40% - Accent5 163" xfId="14765"/>
    <cellStyle name="40% - Accent5 163 2" xfId="21466"/>
    <cellStyle name="40% - Accent5 163 3" xfId="21467"/>
    <cellStyle name="40% - Accent5 163_Note Calc" xfId="26937"/>
    <cellStyle name="40% - Accent5 164" xfId="14766"/>
    <cellStyle name="40% - Accent5 165" xfId="14767"/>
    <cellStyle name="40% - Accent5 166" xfId="14768"/>
    <cellStyle name="40% - Accent5 167" xfId="14769"/>
    <cellStyle name="40% - Accent5 168" xfId="14770"/>
    <cellStyle name="40% - Accent5 169" xfId="14771"/>
    <cellStyle name="40% - Accent5 17" xfId="14772"/>
    <cellStyle name="40% - Accent5 170" xfId="14773"/>
    <cellStyle name="40% - Accent5 171" xfId="14774"/>
    <cellStyle name="40% - Accent5 172" xfId="14775"/>
    <cellStyle name="40% - Accent5 173" xfId="14776"/>
    <cellStyle name="40% - Accent5 174" xfId="14777"/>
    <cellStyle name="40% - Accent5 175" xfId="14778"/>
    <cellStyle name="40% - Accent5 176" xfId="14779"/>
    <cellStyle name="40% - Accent5 177" xfId="14780"/>
    <cellStyle name="40% - Accent5 178" xfId="14781"/>
    <cellStyle name="40% - Accent5 179" xfId="14782"/>
    <cellStyle name="40% - Accent5 18" xfId="14783"/>
    <cellStyle name="40% - Accent5 180" xfId="14784"/>
    <cellStyle name="40% - Accent5 181" xfId="14785"/>
    <cellStyle name="40% - Accent5 182" xfId="14786"/>
    <cellStyle name="40% - Accent5 183" xfId="14787"/>
    <cellStyle name="40% - Accent5 184" xfId="14788"/>
    <cellStyle name="40% - Accent5 185" xfId="14789"/>
    <cellStyle name="40% - Accent5 186" xfId="14790"/>
    <cellStyle name="40% - Accent5 187" xfId="14791"/>
    <cellStyle name="40% - Accent5 188" xfId="14792"/>
    <cellStyle name="40% - Accent5 189" xfId="14793"/>
    <cellStyle name="40% - Accent5 19" xfId="14794"/>
    <cellStyle name="40% - Accent5 190" xfId="14795"/>
    <cellStyle name="40% - Accent5 191" xfId="14796"/>
    <cellStyle name="40% - Accent5 192" xfId="14797"/>
    <cellStyle name="40% - Accent5 193" xfId="14798"/>
    <cellStyle name="40% - Accent5 194" xfId="14799"/>
    <cellStyle name="40% - Accent5 195" xfId="14800"/>
    <cellStyle name="40% - Accent5 196" xfId="14801"/>
    <cellStyle name="40% - Accent5 197" xfId="14802"/>
    <cellStyle name="40% - Accent5 198" xfId="14803"/>
    <cellStyle name="40% - Accent5 199" xfId="14804"/>
    <cellStyle name="40% - Accent5 2" xfId="312"/>
    <cellStyle name="40% - Accent5 2 10" xfId="313"/>
    <cellStyle name="40% - Accent5 2 11" xfId="314"/>
    <cellStyle name="40% - Accent5 2 12" xfId="315"/>
    <cellStyle name="40% - Accent5 2 13" xfId="316"/>
    <cellStyle name="40% - Accent5 2 14" xfId="317"/>
    <cellStyle name="40% - Accent5 2 15" xfId="318"/>
    <cellStyle name="40% - Accent5 2 16" xfId="319"/>
    <cellStyle name="40% - Accent5 2 17" xfId="320"/>
    <cellStyle name="40% - Accent5 2 18" xfId="321"/>
    <cellStyle name="40% - Accent5 2 19" xfId="322"/>
    <cellStyle name="40% - Accent5 2 2" xfId="323"/>
    <cellStyle name="40% - Accent5 2 2 2" xfId="7617"/>
    <cellStyle name="40% - Accent5 2 2 2 2" xfId="9056"/>
    <cellStyle name="40% - Accent5 2 2 2 2 2" xfId="11747"/>
    <cellStyle name="40% - Accent5 2 2 2 2 3" xfId="10434"/>
    <cellStyle name="40% - Accent5 2 2 2 2_Note Calc" xfId="26939"/>
    <cellStyle name="40% - Accent5 2 2 2 3" xfId="11059"/>
    <cellStyle name="40% - Accent5 2 2 2 4" xfId="9746"/>
    <cellStyle name="40% - Accent5 2 2 2_Forecast" xfId="22420"/>
    <cellStyle name="40% - Accent5 2 2 3" xfId="8271"/>
    <cellStyle name="40% - Accent5 2 2 3 2" xfId="9221"/>
    <cellStyle name="40% - Accent5 2 2 3 2 2" xfId="11912"/>
    <cellStyle name="40% - Accent5 2 2 3 2 3" xfId="10599"/>
    <cellStyle name="40% - Accent5 2 2 3 2_Note Calc" xfId="26940"/>
    <cellStyle name="40% - Accent5 2 2 3 3" xfId="11224"/>
    <cellStyle name="40% - Accent5 2 2 3 4" xfId="9911"/>
    <cellStyle name="40% - Accent5 2 2 3_Forecast" xfId="22421"/>
    <cellStyle name="40% - Accent5 2 2 4" xfId="8326"/>
    <cellStyle name="40% - Accent5 2 2 4 2" xfId="9250"/>
    <cellStyle name="40% - Accent5 2 2 4 2 2" xfId="11941"/>
    <cellStyle name="40% - Accent5 2 2 4 2 3" xfId="10628"/>
    <cellStyle name="40% - Accent5 2 2 4 2_Note Calc" xfId="26941"/>
    <cellStyle name="40% - Accent5 2 2 4 3" xfId="11253"/>
    <cellStyle name="40% - Accent5 2 2 4 4" xfId="9940"/>
    <cellStyle name="40% - Accent5 2 2 4_Forecast" xfId="22422"/>
    <cellStyle name="40% - Accent5 2 2 5" xfId="21468"/>
    <cellStyle name="40% - Accent5 2 2_Note Calc" xfId="26938"/>
    <cellStyle name="40% - Accent5 2 20" xfId="324"/>
    <cellStyle name="40% - Accent5 2 21" xfId="325"/>
    <cellStyle name="40% - Accent5 2 22" xfId="326"/>
    <cellStyle name="40% - Accent5 2 23" xfId="327"/>
    <cellStyle name="40% - Accent5 2 24" xfId="328"/>
    <cellStyle name="40% - Accent5 2 25" xfId="329"/>
    <cellStyle name="40% - Accent5 2 26" xfId="330"/>
    <cellStyle name="40% - Accent5 2 27" xfId="331"/>
    <cellStyle name="40% - Accent5 2 28" xfId="332"/>
    <cellStyle name="40% - Accent5 2 29" xfId="333"/>
    <cellStyle name="40% - Accent5 2 3" xfId="334"/>
    <cellStyle name="40% - Accent5 2 3 2" xfId="7618"/>
    <cellStyle name="40% - Accent5 2 3 2 2" xfId="9057"/>
    <cellStyle name="40% - Accent5 2 3 2 2 2" xfId="11748"/>
    <cellStyle name="40% - Accent5 2 3 2 2 3" xfId="10435"/>
    <cellStyle name="40% - Accent5 2 3 2 2_Note Calc" xfId="26943"/>
    <cellStyle name="40% - Accent5 2 3 2 3" xfId="11060"/>
    <cellStyle name="40% - Accent5 2 3 2 4" xfId="9747"/>
    <cellStyle name="40% - Accent5 2 3 2_Forecast" xfId="22423"/>
    <cellStyle name="40% - Accent5 2 3 3" xfId="8272"/>
    <cellStyle name="40% - Accent5 2 3 3 2" xfId="9222"/>
    <cellStyle name="40% - Accent5 2 3 3 2 2" xfId="11913"/>
    <cellStyle name="40% - Accent5 2 3 3 2 3" xfId="10600"/>
    <cellStyle name="40% - Accent5 2 3 3 2_Note Calc" xfId="26944"/>
    <cellStyle name="40% - Accent5 2 3 3 3" xfId="11225"/>
    <cellStyle name="40% - Accent5 2 3 3 4" xfId="9912"/>
    <cellStyle name="40% - Accent5 2 3 3_Forecast" xfId="22424"/>
    <cellStyle name="40% - Accent5 2 3 4" xfId="8325"/>
    <cellStyle name="40% - Accent5 2 3 4 2" xfId="9249"/>
    <cellStyle name="40% - Accent5 2 3 4 2 2" xfId="11940"/>
    <cellStyle name="40% - Accent5 2 3 4 2 3" xfId="10627"/>
    <cellStyle name="40% - Accent5 2 3 4 2_Note Calc" xfId="26945"/>
    <cellStyle name="40% - Accent5 2 3 4 3" xfId="11252"/>
    <cellStyle name="40% - Accent5 2 3 4 4" xfId="9939"/>
    <cellStyle name="40% - Accent5 2 3 4_Forecast" xfId="22425"/>
    <cellStyle name="40% - Accent5 2 3 5" xfId="21469"/>
    <cellStyle name="40% - Accent5 2 3_Note Calc" xfId="26942"/>
    <cellStyle name="40% - Accent5 2 30" xfId="335"/>
    <cellStyle name="40% - Accent5 2 31" xfId="7616"/>
    <cellStyle name="40% - Accent5 2 31 2" xfId="9055"/>
    <cellStyle name="40% - Accent5 2 31 2 2" xfId="11746"/>
    <cellStyle name="40% - Accent5 2 31 2 3" xfId="10433"/>
    <cellStyle name="40% - Accent5 2 31 2_Note Calc" xfId="26946"/>
    <cellStyle name="40% - Accent5 2 31 3" xfId="11058"/>
    <cellStyle name="40% - Accent5 2 31 4" xfId="9745"/>
    <cellStyle name="40% - Accent5 2 31_Forecast" xfId="22426"/>
    <cellStyle name="40% - Accent5 2 32" xfId="8270"/>
    <cellStyle name="40% - Accent5 2 32 2" xfId="9220"/>
    <cellStyle name="40% - Accent5 2 32 2 2" xfId="11911"/>
    <cellStyle name="40% - Accent5 2 32 2 3" xfId="10598"/>
    <cellStyle name="40% - Accent5 2 32 2_Note Calc" xfId="26947"/>
    <cellStyle name="40% - Accent5 2 32 3" xfId="11223"/>
    <cellStyle name="40% - Accent5 2 32 4" xfId="9910"/>
    <cellStyle name="40% - Accent5 2 32_Forecast" xfId="22427"/>
    <cellStyle name="40% - Accent5 2 33" xfId="8327"/>
    <cellStyle name="40% - Accent5 2 33 2" xfId="9251"/>
    <cellStyle name="40% - Accent5 2 33 2 2" xfId="11942"/>
    <cellStyle name="40% - Accent5 2 33 2 3" xfId="10629"/>
    <cellStyle name="40% - Accent5 2 33 2_Note Calc" xfId="26948"/>
    <cellStyle name="40% - Accent5 2 33 3" xfId="11254"/>
    <cellStyle name="40% - Accent5 2 33 4" xfId="9941"/>
    <cellStyle name="40% - Accent5 2 33_Forecast" xfId="22428"/>
    <cellStyle name="40% - Accent5 2 34" xfId="12109"/>
    <cellStyle name="40% - Accent5 2 35" xfId="14805"/>
    <cellStyle name="40% - Accent5 2 36" xfId="26949"/>
    <cellStyle name="40% - Accent5 2 4" xfId="336"/>
    <cellStyle name="40% - Accent5 2 4 2" xfId="7619"/>
    <cellStyle name="40% - Accent5 2 4 2 2" xfId="9058"/>
    <cellStyle name="40% - Accent5 2 4 2 2 2" xfId="11749"/>
    <cellStyle name="40% - Accent5 2 4 2 2 3" xfId="10436"/>
    <cellStyle name="40% - Accent5 2 4 2 2_Note Calc" xfId="26951"/>
    <cellStyle name="40% - Accent5 2 4 2 3" xfId="11061"/>
    <cellStyle name="40% - Accent5 2 4 2 4" xfId="9748"/>
    <cellStyle name="40% - Accent5 2 4 2_Forecast" xfId="22429"/>
    <cellStyle name="40% - Accent5 2 4 3" xfId="8273"/>
    <cellStyle name="40% - Accent5 2 4 3 2" xfId="9223"/>
    <cellStyle name="40% - Accent5 2 4 3 2 2" xfId="11914"/>
    <cellStyle name="40% - Accent5 2 4 3 2 3" xfId="10601"/>
    <cellStyle name="40% - Accent5 2 4 3 2_Note Calc" xfId="26952"/>
    <cellStyle name="40% - Accent5 2 4 3 3" xfId="11226"/>
    <cellStyle name="40% - Accent5 2 4 3 4" xfId="9913"/>
    <cellStyle name="40% - Accent5 2 4 3_Forecast" xfId="22430"/>
    <cellStyle name="40% - Accent5 2 4 4" xfId="8324"/>
    <cellStyle name="40% - Accent5 2 4 4 2" xfId="9248"/>
    <cellStyle name="40% - Accent5 2 4 4 2 2" xfId="11939"/>
    <cellStyle name="40% - Accent5 2 4 4 2 3" xfId="10626"/>
    <cellStyle name="40% - Accent5 2 4 4 2_Note Calc" xfId="26953"/>
    <cellStyle name="40% - Accent5 2 4 4 3" xfId="11251"/>
    <cellStyle name="40% - Accent5 2 4 4 4" xfId="9938"/>
    <cellStyle name="40% - Accent5 2 4 4_Forecast" xfId="22431"/>
    <cellStyle name="40% - Accent5 2 4 5" xfId="21470"/>
    <cellStyle name="40% - Accent5 2 4_Note Calc" xfId="26950"/>
    <cellStyle name="40% - Accent5 2 5" xfId="337"/>
    <cellStyle name="40% - Accent5 2 5 2" xfId="7620"/>
    <cellStyle name="40% - Accent5 2 5 2 2" xfId="9059"/>
    <cellStyle name="40% - Accent5 2 5 2 2 2" xfId="11750"/>
    <cellStyle name="40% - Accent5 2 5 2 2 3" xfId="10437"/>
    <cellStyle name="40% - Accent5 2 5 2 2_Note Calc" xfId="26955"/>
    <cellStyle name="40% - Accent5 2 5 2 3" xfId="11062"/>
    <cellStyle name="40% - Accent5 2 5 2 4" xfId="9749"/>
    <cellStyle name="40% - Accent5 2 5 2_Forecast" xfId="22432"/>
    <cellStyle name="40% - Accent5 2 5 3" xfId="8274"/>
    <cellStyle name="40% - Accent5 2 5 3 2" xfId="9224"/>
    <cellStyle name="40% - Accent5 2 5 3 2 2" xfId="11915"/>
    <cellStyle name="40% - Accent5 2 5 3 2 3" xfId="10602"/>
    <cellStyle name="40% - Accent5 2 5 3 2_Note Calc" xfId="26956"/>
    <cellStyle name="40% - Accent5 2 5 3 3" xfId="11227"/>
    <cellStyle name="40% - Accent5 2 5 3 4" xfId="9914"/>
    <cellStyle name="40% - Accent5 2 5 3_Forecast" xfId="22433"/>
    <cellStyle name="40% - Accent5 2 5 4" xfId="8323"/>
    <cellStyle name="40% - Accent5 2 5 4 2" xfId="9247"/>
    <cellStyle name="40% - Accent5 2 5 4 2 2" xfId="11938"/>
    <cellStyle name="40% - Accent5 2 5 4 2 3" xfId="10625"/>
    <cellStyle name="40% - Accent5 2 5 4 2_Note Calc" xfId="26957"/>
    <cellStyle name="40% - Accent5 2 5 4 3" xfId="11250"/>
    <cellStyle name="40% - Accent5 2 5 4 4" xfId="9937"/>
    <cellStyle name="40% - Accent5 2 5 4_Forecast" xfId="22434"/>
    <cellStyle name="40% - Accent5 2 5_Note Calc" xfId="26954"/>
    <cellStyle name="40% - Accent5 2 6" xfId="338"/>
    <cellStyle name="40% - Accent5 2 6 2" xfId="7621"/>
    <cellStyle name="40% - Accent5 2 6 2 2" xfId="9060"/>
    <cellStyle name="40% - Accent5 2 6 2 2 2" xfId="11751"/>
    <cellStyle name="40% - Accent5 2 6 2 2 3" xfId="10438"/>
    <cellStyle name="40% - Accent5 2 6 2 2_Note Calc" xfId="26959"/>
    <cellStyle name="40% - Accent5 2 6 2 3" xfId="11063"/>
    <cellStyle name="40% - Accent5 2 6 2 4" xfId="9750"/>
    <cellStyle name="40% - Accent5 2 6 2_Forecast" xfId="22435"/>
    <cellStyle name="40% - Accent5 2 6 3" xfId="8275"/>
    <cellStyle name="40% - Accent5 2 6 3 2" xfId="9225"/>
    <cellStyle name="40% - Accent5 2 6 3 2 2" xfId="11916"/>
    <cellStyle name="40% - Accent5 2 6 3 2 3" xfId="10603"/>
    <cellStyle name="40% - Accent5 2 6 3 2_Note Calc" xfId="26960"/>
    <cellStyle name="40% - Accent5 2 6 3 3" xfId="11228"/>
    <cellStyle name="40% - Accent5 2 6 3 4" xfId="9915"/>
    <cellStyle name="40% - Accent5 2 6 3_Forecast" xfId="22436"/>
    <cellStyle name="40% - Accent5 2 6 4" xfId="8322"/>
    <cellStyle name="40% - Accent5 2 6 4 2" xfId="9246"/>
    <cellStyle name="40% - Accent5 2 6 4 2 2" xfId="11937"/>
    <cellStyle name="40% - Accent5 2 6 4 2 3" xfId="10624"/>
    <cellStyle name="40% - Accent5 2 6 4 2_Note Calc" xfId="26961"/>
    <cellStyle name="40% - Accent5 2 6 4 3" xfId="11249"/>
    <cellStyle name="40% - Accent5 2 6 4 4" xfId="9936"/>
    <cellStyle name="40% - Accent5 2 6 4_Forecast" xfId="22437"/>
    <cellStyle name="40% - Accent5 2 6_Note Calc" xfId="26958"/>
    <cellStyle name="40% - Accent5 2 7" xfId="339"/>
    <cellStyle name="40% - Accent5 2 7 2" xfId="7622"/>
    <cellStyle name="40% - Accent5 2 7 2 2" xfId="9061"/>
    <cellStyle name="40% - Accent5 2 7 2 2 2" xfId="11752"/>
    <cellStyle name="40% - Accent5 2 7 2 2 3" xfId="10439"/>
    <cellStyle name="40% - Accent5 2 7 2 2_Note Calc" xfId="26963"/>
    <cellStyle name="40% - Accent5 2 7 2 3" xfId="11064"/>
    <cellStyle name="40% - Accent5 2 7 2 4" xfId="9751"/>
    <cellStyle name="40% - Accent5 2 7 2_Forecast" xfId="22438"/>
    <cellStyle name="40% - Accent5 2 7 3" xfId="8276"/>
    <cellStyle name="40% - Accent5 2 7 3 2" xfId="9226"/>
    <cellStyle name="40% - Accent5 2 7 3 2 2" xfId="11917"/>
    <cellStyle name="40% - Accent5 2 7 3 2 3" xfId="10604"/>
    <cellStyle name="40% - Accent5 2 7 3 2_Note Calc" xfId="26964"/>
    <cellStyle name="40% - Accent5 2 7 3 3" xfId="11229"/>
    <cellStyle name="40% - Accent5 2 7 3 4" xfId="9916"/>
    <cellStyle name="40% - Accent5 2 7 3_Forecast" xfId="22439"/>
    <cellStyle name="40% - Accent5 2 7 4" xfId="8320"/>
    <cellStyle name="40% - Accent5 2 7 4 2" xfId="9245"/>
    <cellStyle name="40% - Accent5 2 7 4 2 2" xfId="11936"/>
    <cellStyle name="40% - Accent5 2 7 4 2 3" xfId="10623"/>
    <cellStyle name="40% - Accent5 2 7 4 2_Note Calc" xfId="26965"/>
    <cellStyle name="40% - Accent5 2 7 4 3" xfId="11248"/>
    <cellStyle name="40% - Accent5 2 7 4 4" xfId="9935"/>
    <cellStyle name="40% - Accent5 2 7 4_Forecast" xfId="22440"/>
    <cellStyle name="40% - Accent5 2 7_Note Calc" xfId="26962"/>
    <cellStyle name="40% - Accent5 2 8" xfId="340"/>
    <cellStyle name="40% - Accent5 2 9" xfId="341"/>
    <cellStyle name="40% - Accent5 2_Forecast" xfId="22441"/>
    <cellStyle name="40% - Accent5 20" xfId="14806"/>
    <cellStyle name="40% - Accent5 200" xfId="14807"/>
    <cellStyle name="40% - Accent5 201" xfId="14808"/>
    <cellStyle name="40% - Accent5 202" xfId="14809"/>
    <cellStyle name="40% - Accent5 203" xfId="14810"/>
    <cellStyle name="40% - Accent5 204" xfId="14811"/>
    <cellStyle name="40% - Accent5 205" xfId="14812"/>
    <cellStyle name="40% - Accent5 206" xfId="14813"/>
    <cellStyle name="40% - Accent5 207" xfId="14814"/>
    <cellStyle name="40% - Accent5 208" xfId="14815"/>
    <cellStyle name="40% - Accent5 209" xfId="14816"/>
    <cellStyle name="40% - Accent5 21" xfId="14817"/>
    <cellStyle name="40% - Accent5 210" xfId="14818"/>
    <cellStyle name="40% - Accent5 211" xfId="14819"/>
    <cellStyle name="40% - Accent5 212" xfId="14820"/>
    <cellStyle name="40% - Accent5 213" xfId="14821"/>
    <cellStyle name="40% - Accent5 214" xfId="14822"/>
    <cellStyle name="40% - Accent5 215" xfId="14823"/>
    <cellStyle name="40% - Accent5 216" xfId="14824"/>
    <cellStyle name="40% - Accent5 217" xfId="14825"/>
    <cellStyle name="40% - Accent5 218" xfId="14826"/>
    <cellStyle name="40% - Accent5 219" xfId="14827"/>
    <cellStyle name="40% - Accent5 22" xfId="14828"/>
    <cellStyle name="40% - Accent5 220" xfId="14829"/>
    <cellStyle name="40% - Accent5 221" xfId="14830"/>
    <cellStyle name="40% - Accent5 222" xfId="14831"/>
    <cellStyle name="40% - Accent5 223" xfId="14832"/>
    <cellStyle name="40% - Accent5 224" xfId="14833"/>
    <cellStyle name="40% - Accent5 225" xfId="14834"/>
    <cellStyle name="40% - Accent5 226" xfId="14835"/>
    <cellStyle name="40% - Accent5 227" xfId="14836"/>
    <cellStyle name="40% - Accent5 228" xfId="14837"/>
    <cellStyle name="40% - Accent5 229" xfId="14838"/>
    <cellStyle name="40% - Accent5 23" xfId="14839"/>
    <cellStyle name="40% - Accent5 230" xfId="14840"/>
    <cellStyle name="40% - Accent5 231" xfId="14841"/>
    <cellStyle name="40% - Accent5 232" xfId="14842"/>
    <cellStyle name="40% - Accent5 233" xfId="14843"/>
    <cellStyle name="40% - Accent5 234" xfId="14844"/>
    <cellStyle name="40% - Accent5 235" xfId="14845"/>
    <cellStyle name="40% - Accent5 236" xfId="14846"/>
    <cellStyle name="40% - Accent5 237" xfId="14847"/>
    <cellStyle name="40% - Accent5 238" xfId="14848"/>
    <cellStyle name="40% - Accent5 239" xfId="14849"/>
    <cellStyle name="40% - Accent5 24" xfId="14850"/>
    <cellStyle name="40% - Accent5 240" xfId="14851"/>
    <cellStyle name="40% - Accent5 241" xfId="14852"/>
    <cellStyle name="40% - Accent5 242" xfId="14853"/>
    <cellStyle name="40% - Accent5 243" xfId="14854"/>
    <cellStyle name="40% - Accent5 244" xfId="14855"/>
    <cellStyle name="40% - Accent5 245" xfId="21471"/>
    <cellStyle name="40% - Accent5 246" xfId="21472"/>
    <cellStyle name="40% - Accent5 247" xfId="21473"/>
    <cellStyle name="40% - Accent5 248" xfId="21474"/>
    <cellStyle name="40% - Accent5 249" xfId="21475"/>
    <cellStyle name="40% - Accent5 25" xfId="14856"/>
    <cellStyle name="40% - Accent5 250" xfId="21476"/>
    <cellStyle name="40% - Accent5 251" xfId="21477"/>
    <cellStyle name="40% - Accent5 252" xfId="21478"/>
    <cellStyle name="40% - Accent5 253" xfId="21479"/>
    <cellStyle name="40% - Accent5 254" xfId="21480"/>
    <cellStyle name="40% - Accent5 255" xfId="21481"/>
    <cellStyle name="40% - Accent5 256" xfId="21482"/>
    <cellStyle name="40% - Accent5 257" xfId="21483"/>
    <cellStyle name="40% - Accent5 258" xfId="21816"/>
    <cellStyle name="40% - Accent5 259" xfId="21817"/>
    <cellStyle name="40% - Accent5 26" xfId="14857"/>
    <cellStyle name="40% - Accent5 260" xfId="21818"/>
    <cellStyle name="40% - Accent5 261" xfId="21819"/>
    <cellStyle name="40% - Accent5 262" xfId="21740"/>
    <cellStyle name="40% - Accent5 263" xfId="21983"/>
    <cellStyle name="40% - Accent5 264" xfId="21887"/>
    <cellStyle name="40% - Accent5 265" xfId="26966"/>
    <cellStyle name="40% - Accent5 27" xfId="14858"/>
    <cellStyle name="40% - Accent5 28" xfId="14859"/>
    <cellStyle name="40% - Accent5 29" xfId="14860"/>
    <cellStyle name="40% - Accent5 3" xfId="7419"/>
    <cellStyle name="40% - Accent5 3 10" xfId="8861"/>
    <cellStyle name="40% - Accent5 3 10 2" xfId="11552"/>
    <cellStyle name="40% - Accent5 3 10 3" xfId="10239"/>
    <cellStyle name="40% - Accent5 3 10_Note Calc" xfId="26967"/>
    <cellStyle name="40% - Accent5 3 11" xfId="10864"/>
    <cellStyle name="40% - Accent5 3 12" xfId="9551"/>
    <cellStyle name="40% - Accent5 3 12 2" xfId="22442"/>
    <cellStyle name="40% - Accent5 3 12_Forecast" xfId="22443"/>
    <cellStyle name="40% - Accent5 3 13" xfId="14861"/>
    <cellStyle name="40% - Accent5 3 14" xfId="22444"/>
    <cellStyle name="40% - Accent5 3 2" xfId="7623"/>
    <cellStyle name="40% - Accent5 3 2 2" xfId="9062"/>
    <cellStyle name="40% - Accent5 3 2 2 2" xfId="11753"/>
    <cellStyle name="40% - Accent5 3 2 2 3" xfId="10440"/>
    <cellStyle name="40% - Accent5 3 2 2_Note Calc" xfId="26968"/>
    <cellStyle name="40% - Accent5 3 2 3" xfId="11065"/>
    <cellStyle name="40% - Accent5 3 2 4" xfId="9752"/>
    <cellStyle name="40% - Accent5 3 2_Forecast" xfId="22445"/>
    <cellStyle name="40% - Accent5 3 3" xfId="7624"/>
    <cellStyle name="40% - Accent5 3 3 2" xfId="9063"/>
    <cellStyle name="40% - Accent5 3 3 2 2" xfId="11754"/>
    <cellStyle name="40% - Accent5 3 3 2 3" xfId="10441"/>
    <cellStyle name="40% - Accent5 3 3 2_Note Calc" xfId="26969"/>
    <cellStyle name="40% - Accent5 3 3 3" xfId="11066"/>
    <cellStyle name="40% - Accent5 3 3 4" xfId="9753"/>
    <cellStyle name="40% - Accent5 3 3_Forecast" xfId="22446"/>
    <cellStyle name="40% - Accent5 3 4" xfId="7625"/>
    <cellStyle name="40% - Accent5 3 4 2" xfId="9064"/>
    <cellStyle name="40% - Accent5 3 4 2 2" xfId="11755"/>
    <cellStyle name="40% - Accent5 3 4 2 3" xfId="10442"/>
    <cellStyle name="40% - Accent5 3 4 2_Note Calc" xfId="26970"/>
    <cellStyle name="40% - Accent5 3 4 3" xfId="11067"/>
    <cellStyle name="40% - Accent5 3 4 4" xfId="9754"/>
    <cellStyle name="40% - Accent5 3 4_Forecast" xfId="22447"/>
    <cellStyle name="40% - Accent5 3 5" xfId="7626"/>
    <cellStyle name="40% - Accent5 3 5 2" xfId="9065"/>
    <cellStyle name="40% - Accent5 3 5 2 2" xfId="11756"/>
    <cellStyle name="40% - Accent5 3 5 2 3" xfId="10443"/>
    <cellStyle name="40% - Accent5 3 5 2_Note Calc" xfId="26971"/>
    <cellStyle name="40% - Accent5 3 5 3" xfId="11068"/>
    <cellStyle name="40% - Accent5 3 5 4" xfId="9755"/>
    <cellStyle name="40% - Accent5 3 5_Forecast" xfId="22448"/>
    <cellStyle name="40% - Accent5 3 6" xfId="7627"/>
    <cellStyle name="40% - Accent5 3 6 2" xfId="9066"/>
    <cellStyle name="40% - Accent5 3 6 2 2" xfId="11757"/>
    <cellStyle name="40% - Accent5 3 6 2 3" xfId="10444"/>
    <cellStyle name="40% - Accent5 3 6 2_Note Calc" xfId="26972"/>
    <cellStyle name="40% - Accent5 3 6 3" xfId="11069"/>
    <cellStyle name="40% - Accent5 3 6 4" xfId="9756"/>
    <cellStyle name="40% - Accent5 3 6_Forecast" xfId="22449"/>
    <cellStyle name="40% - Accent5 3 7" xfId="7628"/>
    <cellStyle name="40% - Accent5 3 7 2" xfId="9067"/>
    <cellStyle name="40% - Accent5 3 7 2 2" xfId="11758"/>
    <cellStyle name="40% - Accent5 3 7 2 3" xfId="10445"/>
    <cellStyle name="40% - Accent5 3 7 2_Note Calc" xfId="26973"/>
    <cellStyle name="40% - Accent5 3 7 3" xfId="11070"/>
    <cellStyle name="40% - Accent5 3 7 4" xfId="9757"/>
    <cellStyle name="40% - Accent5 3 7_Forecast" xfId="22450"/>
    <cellStyle name="40% - Accent5 3 8" xfId="8277"/>
    <cellStyle name="40% - Accent5 3 8 2" xfId="9227"/>
    <cellStyle name="40% - Accent5 3 8 2 2" xfId="11918"/>
    <cellStyle name="40% - Accent5 3 8 2 3" xfId="10605"/>
    <cellStyle name="40% - Accent5 3 8 2_Note Calc" xfId="26974"/>
    <cellStyle name="40% - Accent5 3 8 3" xfId="11230"/>
    <cellStyle name="40% - Accent5 3 8 4" xfId="9917"/>
    <cellStyle name="40% - Accent5 3 8_Forecast" xfId="22451"/>
    <cellStyle name="40% - Accent5 3 9" xfId="8319"/>
    <cellStyle name="40% - Accent5 3 9 2" xfId="9244"/>
    <cellStyle name="40% - Accent5 3 9 2 2" xfId="11935"/>
    <cellStyle name="40% - Accent5 3 9 2 3" xfId="10622"/>
    <cellStyle name="40% - Accent5 3 9 2_Note Calc" xfId="26975"/>
    <cellStyle name="40% - Accent5 3 9 3" xfId="11247"/>
    <cellStyle name="40% - Accent5 3 9 4" xfId="9934"/>
    <cellStyle name="40% - Accent5 3 9_Forecast" xfId="22452"/>
    <cellStyle name="40% - Accent5 3_Forecast" xfId="22453"/>
    <cellStyle name="40% - Accent5 30" xfId="14862"/>
    <cellStyle name="40% - Accent5 31" xfId="14863"/>
    <cellStyle name="40% - Accent5 32" xfId="14864"/>
    <cellStyle name="40% - Accent5 33" xfId="14865"/>
    <cellStyle name="40% - Accent5 34" xfId="14866"/>
    <cellStyle name="40% - Accent5 35" xfId="14867"/>
    <cellStyle name="40% - Accent5 36" xfId="14868"/>
    <cellStyle name="40% - Accent5 37" xfId="14869"/>
    <cellStyle name="40% - Accent5 38" xfId="14870"/>
    <cellStyle name="40% - Accent5 39" xfId="14871"/>
    <cellStyle name="40% - Accent5 4" xfId="7629"/>
    <cellStyle name="40% - Accent5 4 2" xfId="9068"/>
    <cellStyle name="40% - Accent5 4 2 2" xfId="11759"/>
    <cellStyle name="40% - Accent5 4 2 3" xfId="10446"/>
    <cellStyle name="40% - Accent5 4 2_Note Calc" xfId="26976"/>
    <cellStyle name="40% - Accent5 4 3" xfId="11071"/>
    <cellStyle name="40% - Accent5 4 4" xfId="9758"/>
    <cellStyle name="40% - Accent5 4 5" xfId="14872"/>
    <cellStyle name="40% - Accent5 4_Forecast" xfId="22454"/>
    <cellStyle name="40% - Accent5 40" xfId="14873"/>
    <cellStyle name="40% - Accent5 41" xfId="14874"/>
    <cellStyle name="40% - Accent5 42" xfId="14875"/>
    <cellStyle name="40% - Accent5 43" xfId="14876"/>
    <cellStyle name="40% - Accent5 44" xfId="14877"/>
    <cellStyle name="40% - Accent5 45" xfId="14878"/>
    <cellStyle name="40% - Accent5 46" xfId="14879"/>
    <cellStyle name="40% - Accent5 47" xfId="14880"/>
    <cellStyle name="40% - Accent5 48" xfId="14881"/>
    <cellStyle name="40% - Accent5 49" xfId="14882"/>
    <cellStyle name="40% - Accent5 5" xfId="7630"/>
    <cellStyle name="40% - Accent5 5 2" xfId="9069"/>
    <cellStyle name="40% - Accent5 5 2 2" xfId="11760"/>
    <cellStyle name="40% - Accent5 5 2 3" xfId="10447"/>
    <cellStyle name="40% - Accent5 5 2_Note Calc" xfId="26977"/>
    <cellStyle name="40% - Accent5 5 3" xfId="11072"/>
    <cellStyle name="40% - Accent5 5 4" xfId="9759"/>
    <cellStyle name="40% - Accent5 5 5" xfId="14883"/>
    <cellStyle name="40% - Accent5 5_Forecast" xfId="22455"/>
    <cellStyle name="40% - Accent5 50" xfId="14884"/>
    <cellStyle name="40% - Accent5 51" xfId="14885"/>
    <cellStyle name="40% - Accent5 52" xfId="14886"/>
    <cellStyle name="40% - Accent5 53" xfId="14887"/>
    <cellStyle name="40% - Accent5 54" xfId="14888"/>
    <cellStyle name="40% - Accent5 55" xfId="14889"/>
    <cellStyle name="40% - Accent5 56" xfId="14890"/>
    <cellStyle name="40% - Accent5 57" xfId="14891"/>
    <cellStyle name="40% - Accent5 58" xfId="14892"/>
    <cellStyle name="40% - Accent5 59" xfId="14893"/>
    <cellStyle name="40% - Accent5 6" xfId="7631"/>
    <cellStyle name="40% - Accent5 6 2" xfId="9070"/>
    <cellStyle name="40% - Accent5 6 2 2" xfId="11761"/>
    <cellStyle name="40% - Accent5 6 2 3" xfId="10448"/>
    <cellStyle name="40% - Accent5 6 2_Note Calc" xfId="26978"/>
    <cellStyle name="40% - Accent5 6 3" xfId="11073"/>
    <cellStyle name="40% - Accent5 6 4" xfId="9760"/>
    <cellStyle name="40% - Accent5 6 5" xfId="14894"/>
    <cellStyle name="40% - Accent5 6_Forecast" xfId="22456"/>
    <cellStyle name="40% - Accent5 60" xfId="14895"/>
    <cellStyle name="40% - Accent5 61" xfId="14896"/>
    <cellStyle name="40% - Accent5 62" xfId="14897"/>
    <cellStyle name="40% - Accent5 63" xfId="14898"/>
    <cellStyle name="40% - Accent5 64" xfId="14899"/>
    <cellStyle name="40% - Accent5 65" xfId="14900"/>
    <cellStyle name="40% - Accent5 66" xfId="14901"/>
    <cellStyle name="40% - Accent5 67" xfId="14902"/>
    <cellStyle name="40% - Accent5 68" xfId="14903"/>
    <cellStyle name="40% - Accent5 69" xfId="14904"/>
    <cellStyle name="40% - Accent5 7" xfId="7632"/>
    <cellStyle name="40% - Accent5 7 2" xfId="9071"/>
    <cellStyle name="40% - Accent5 7 2 2" xfId="11762"/>
    <cellStyle name="40% - Accent5 7 2 3" xfId="10449"/>
    <cellStyle name="40% - Accent5 7 2_Note Calc" xfId="26979"/>
    <cellStyle name="40% - Accent5 7 3" xfId="11074"/>
    <cellStyle name="40% - Accent5 7 4" xfId="9761"/>
    <cellStyle name="40% - Accent5 7 5" xfId="14905"/>
    <cellStyle name="40% - Accent5 7_Forecast" xfId="22457"/>
    <cellStyle name="40% - Accent5 70" xfId="14906"/>
    <cellStyle name="40% - Accent5 71" xfId="14907"/>
    <cellStyle name="40% - Accent5 72" xfId="14908"/>
    <cellStyle name="40% - Accent5 73" xfId="14909"/>
    <cellStyle name="40% - Accent5 74" xfId="14910"/>
    <cellStyle name="40% - Accent5 75" xfId="14911"/>
    <cellStyle name="40% - Accent5 76" xfId="14912"/>
    <cellStyle name="40% - Accent5 77" xfId="14913"/>
    <cellStyle name="40% - Accent5 78" xfId="14914"/>
    <cellStyle name="40% - Accent5 79" xfId="14915"/>
    <cellStyle name="40% - Accent5 8" xfId="7633"/>
    <cellStyle name="40% - Accent5 8 2" xfId="9072"/>
    <cellStyle name="40% - Accent5 8 2 2" xfId="11763"/>
    <cellStyle name="40% - Accent5 8 2 3" xfId="10450"/>
    <cellStyle name="40% - Accent5 8 2_Note Calc" xfId="26980"/>
    <cellStyle name="40% - Accent5 8 3" xfId="11075"/>
    <cellStyle name="40% - Accent5 8 4" xfId="9762"/>
    <cellStyle name="40% - Accent5 8 5" xfId="14916"/>
    <cellStyle name="40% - Accent5 8_Forecast" xfId="22458"/>
    <cellStyle name="40% - Accent5 80" xfId="14917"/>
    <cellStyle name="40% - Accent5 81" xfId="14918"/>
    <cellStyle name="40% - Accent5 82" xfId="14919"/>
    <cellStyle name="40% - Accent5 83" xfId="14920"/>
    <cellStyle name="40% - Accent5 84" xfId="14921"/>
    <cellStyle name="40% - Accent5 85" xfId="14922"/>
    <cellStyle name="40% - Accent5 86" xfId="14923"/>
    <cellStyle name="40% - Accent5 87" xfId="14924"/>
    <cellStyle name="40% - Accent5 88" xfId="14925"/>
    <cellStyle name="40% - Accent5 89" xfId="14926"/>
    <cellStyle name="40% - Accent5 9" xfId="7634"/>
    <cellStyle name="40% - Accent5 9 2" xfId="9073"/>
    <cellStyle name="40% - Accent5 9 2 2" xfId="11764"/>
    <cellStyle name="40% - Accent5 9 2 3" xfId="10451"/>
    <cellStyle name="40% - Accent5 9 2_Note Calc" xfId="26981"/>
    <cellStyle name="40% - Accent5 9 3" xfId="11076"/>
    <cellStyle name="40% - Accent5 9 4" xfId="9763"/>
    <cellStyle name="40% - Accent5 9 5" xfId="14927"/>
    <cellStyle name="40% - Accent5 9_Forecast" xfId="22459"/>
    <cellStyle name="40% - Accent5 90" xfId="14928"/>
    <cellStyle name="40% - Accent5 91" xfId="14929"/>
    <cellStyle name="40% - Accent5 92" xfId="14930"/>
    <cellStyle name="40% - Accent5 93" xfId="14931"/>
    <cellStyle name="40% - Accent5 94" xfId="14932"/>
    <cellStyle name="40% - Accent5 95" xfId="14933"/>
    <cellStyle name="40% - Accent5 96" xfId="14934"/>
    <cellStyle name="40% - Accent5 97" xfId="14935"/>
    <cellStyle name="40% - Accent5 98" xfId="14936"/>
    <cellStyle name="40% - Accent5 99" xfId="14937"/>
    <cellStyle name="40% - Accent6" xfId="342" builtinId="51" customBuiltin="1"/>
    <cellStyle name="40% - Accent6 10" xfId="8787"/>
    <cellStyle name="40% - Accent6 10 2" xfId="11479"/>
    <cellStyle name="40% - Accent6 10 3" xfId="10166"/>
    <cellStyle name="40% - Accent6 10 4" xfId="14938"/>
    <cellStyle name="40% - Accent6 10_Note Calc" xfId="26982"/>
    <cellStyle name="40% - Accent6 100" xfId="14939"/>
    <cellStyle name="40% - Accent6 101" xfId="14940"/>
    <cellStyle name="40% - Accent6 102" xfId="14941"/>
    <cellStyle name="40% - Accent6 103" xfId="14942"/>
    <cellStyle name="40% - Accent6 104" xfId="14943"/>
    <cellStyle name="40% - Accent6 105" xfId="14944"/>
    <cellStyle name="40% - Accent6 106" xfId="14945"/>
    <cellStyle name="40% - Accent6 107" xfId="14946"/>
    <cellStyle name="40% - Accent6 108" xfId="14947"/>
    <cellStyle name="40% - Accent6 109" xfId="14948"/>
    <cellStyle name="40% - Accent6 11" xfId="10791"/>
    <cellStyle name="40% - Accent6 11 2" xfId="14949"/>
    <cellStyle name="40% - Accent6 11_Forecast" xfId="22460"/>
    <cellStyle name="40% - Accent6 110" xfId="14950"/>
    <cellStyle name="40% - Accent6 111" xfId="14951"/>
    <cellStyle name="40% - Accent6 112" xfId="14952"/>
    <cellStyle name="40% - Accent6 113" xfId="14953"/>
    <cellStyle name="40% - Accent6 114" xfId="14954"/>
    <cellStyle name="40% - Accent6 115" xfId="14955"/>
    <cellStyle name="40% - Accent6 116" xfId="14956"/>
    <cellStyle name="40% - Accent6 117" xfId="14957"/>
    <cellStyle name="40% - Accent6 118" xfId="14958"/>
    <cellStyle name="40% - Accent6 119" xfId="14959"/>
    <cellStyle name="40% - Accent6 12" xfId="9478"/>
    <cellStyle name="40% - Accent6 12 2" xfId="14960"/>
    <cellStyle name="40% - Accent6 12_Forecast" xfId="22461"/>
    <cellStyle name="40% - Accent6 120" xfId="14961"/>
    <cellStyle name="40% - Accent6 121" xfId="14962"/>
    <cellStyle name="40% - Accent6 122" xfId="14963"/>
    <cellStyle name="40% - Accent6 123" xfId="14964"/>
    <cellStyle name="40% - Accent6 124" xfId="14965"/>
    <cellStyle name="40% - Accent6 125" xfId="14966"/>
    <cellStyle name="40% - Accent6 126" xfId="14967"/>
    <cellStyle name="40% - Accent6 127" xfId="14968"/>
    <cellStyle name="40% - Accent6 128" xfId="14969"/>
    <cellStyle name="40% - Accent6 129" xfId="14970"/>
    <cellStyle name="40% - Accent6 13" xfId="12256"/>
    <cellStyle name="40% - Accent6 13 2" xfId="14971"/>
    <cellStyle name="40% - Accent6 13_Note Calc" xfId="26983"/>
    <cellStyle name="40% - Accent6 130" xfId="14972"/>
    <cellStyle name="40% - Accent6 131" xfId="14973"/>
    <cellStyle name="40% - Accent6 132" xfId="14974"/>
    <cellStyle name="40% - Accent6 133" xfId="14975"/>
    <cellStyle name="40% - Accent6 134" xfId="14976"/>
    <cellStyle name="40% - Accent6 135" xfId="14977"/>
    <cellStyle name="40% - Accent6 136" xfId="14978"/>
    <cellStyle name="40% - Accent6 137" xfId="14979"/>
    <cellStyle name="40% - Accent6 138" xfId="14980"/>
    <cellStyle name="40% - Accent6 139" xfId="14981"/>
    <cellStyle name="40% - Accent6 14" xfId="14982"/>
    <cellStyle name="40% - Accent6 140" xfId="14983"/>
    <cellStyle name="40% - Accent6 141" xfId="14984"/>
    <cellStyle name="40% - Accent6 142" xfId="14985"/>
    <cellStyle name="40% - Accent6 143" xfId="14986"/>
    <cellStyle name="40% - Accent6 144" xfId="14987"/>
    <cellStyle name="40% - Accent6 145" xfId="14988"/>
    <cellStyle name="40% - Accent6 146" xfId="14989"/>
    <cellStyle name="40% - Accent6 147" xfId="14990"/>
    <cellStyle name="40% - Accent6 148" xfId="14991"/>
    <cellStyle name="40% - Accent6 149" xfId="14992"/>
    <cellStyle name="40% - Accent6 15" xfId="14993"/>
    <cellStyle name="40% - Accent6 150" xfId="14994"/>
    <cellStyle name="40% - Accent6 151" xfId="14995"/>
    <cellStyle name="40% - Accent6 152" xfId="14996"/>
    <cellStyle name="40% - Accent6 153" xfId="14997"/>
    <cellStyle name="40% - Accent6 154" xfId="14998"/>
    <cellStyle name="40% - Accent6 155" xfId="14999"/>
    <cellStyle name="40% - Accent6 156" xfId="15000"/>
    <cellStyle name="40% - Accent6 157" xfId="15001"/>
    <cellStyle name="40% - Accent6 158" xfId="15002"/>
    <cellStyle name="40% - Accent6 159" xfId="15003"/>
    <cellStyle name="40% - Accent6 16" xfId="15004"/>
    <cellStyle name="40% - Accent6 160" xfId="15005"/>
    <cellStyle name="40% - Accent6 161" xfId="15006"/>
    <cellStyle name="40% - Accent6 162" xfId="15007"/>
    <cellStyle name="40% - Accent6 163" xfId="15008"/>
    <cellStyle name="40% - Accent6 163 2" xfId="21484"/>
    <cellStyle name="40% - Accent6 163 3" xfId="21485"/>
    <cellStyle name="40% - Accent6 163_Note Calc" xfId="26984"/>
    <cellStyle name="40% - Accent6 164" xfId="15009"/>
    <cellStyle name="40% - Accent6 165" xfId="15010"/>
    <cellStyle name="40% - Accent6 166" xfId="15011"/>
    <cellStyle name="40% - Accent6 167" xfId="15012"/>
    <cellStyle name="40% - Accent6 168" xfId="15013"/>
    <cellStyle name="40% - Accent6 169" xfId="15014"/>
    <cellStyle name="40% - Accent6 17" xfId="15015"/>
    <cellStyle name="40% - Accent6 170" xfId="15016"/>
    <cellStyle name="40% - Accent6 171" xfId="15017"/>
    <cellStyle name="40% - Accent6 172" xfId="15018"/>
    <cellStyle name="40% - Accent6 173" xfId="15019"/>
    <cellStyle name="40% - Accent6 174" xfId="15020"/>
    <cellStyle name="40% - Accent6 175" xfId="15021"/>
    <cellStyle name="40% - Accent6 176" xfId="15022"/>
    <cellStyle name="40% - Accent6 177" xfId="15023"/>
    <cellStyle name="40% - Accent6 178" xfId="15024"/>
    <cellStyle name="40% - Accent6 179" xfId="15025"/>
    <cellStyle name="40% - Accent6 18" xfId="15026"/>
    <cellStyle name="40% - Accent6 180" xfId="15027"/>
    <cellStyle name="40% - Accent6 181" xfId="15028"/>
    <cellStyle name="40% - Accent6 182" xfId="15029"/>
    <cellStyle name="40% - Accent6 183" xfId="15030"/>
    <cellStyle name="40% - Accent6 184" xfId="15031"/>
    <cellStyle name="40% - Accent6 185" xfId="15032"/>
    <cellStyle name="40% - Accent6 186" xfId="15033"/>
    <cellStyle name="40% - Accent6 187" xfId="15034"/>
    <cellStyle name="40% - Accent6 188" xfId="15035"/>
    <cellStyle name="40% - Accent6 189" xfId="15036"/>
    <cellStyle name="40% - Accent6 19" xfId="15037"/>
    <cellStyle name="40% - Accent6 190" xfId="15038"/>
    <cellStyle name="40% - Accent6 191" xfId="15039"/>
    <cellStyle name="40% - Accent6 192" xfId="15040"/>
    <cellStyle name="40% - Accent6 193" xfId="15041"/>
    <cellStyle name="40% - Accent6 194" xfId="15042"/>
    <cellStyle name="40% - Accent6 195" xfId="15043"/>
    <cellStyle name="40% - Accent6 196" xfId="15044"/>
    <cellStyle name="40% - Accent6 197" xfId="15045"/>
    <cellStyle name="40% - Accent6 198" xfId="15046"/>
    <cellStyle name="40% - Accent6 199" xfId="15047"/>
    <cellStyle name="40% - Accent6 2" xfId="343"/>
    <cellStyle name="40% - Accent6 2 10" xfId="344"/>
    <cellStyle name="40% - Accent6 2 11" xfId="345"/>
    <cellStyle name="40% - Accent6 2 12" xfId="346"/>
    <cellStyle name="40% - Accent6 2 13" xfId="347"/>
    <cellStyle name="40% - Accent6 2 14" xfId="348"/>
    <cellStyle name="40% - Accent6 2 15" xfId="349"/>
    <cellStyle name="40% - Accent6 2 16" xfId="350"/>
    <cellStyle name="40% - Accent6 2 17" xfId="351"/>
    <cellStyle name="40% - Accent6 2 18" xfId="352"/>
    <cellStyle name="40% - Accent6 2 19" xfId="353"/>
    <cellStyle name="40% - Accent6 2 2" xfId="354"/>
    <cellStyle name="40% - Accent6 2 2 2" xfId="7636"/>
    <cellStyle name="40% - Accent6 2 2 2 2" xfId="9075"/>
    <cellStyle name="40% - Accent6 2 2 2 2 2" xfId="11766"/>
    <cellStyle name="40% - Accent6 2 2 2 2 3" xfId="10453"/>
    <cellStyle name="40% - Accent6 2 2 2 2_Note Calc" xfId="26986"/>
    <cellStyle name="40% - Accent6 2 2 2 3" xfId="11078"/>
    <cellStyle name="40% - Accent6 2 2 2 4" xfId="9765"/>
    <cellStyle name="40% - Accent6 2 2 2_Forecast" xfId="22462"/>
    <cellStyle name="40% - Accent6 2 2 3" xfId="8279"/>
    <cellStyle name="40% - Accent6 2 2 3 2" xfId="9229"/>
    <cellStyle name="40% - Accent6 2 2 3 2 2" xfId="11920"/>
    <cellStyle name="40% - Accent6 2 2 3 2 3" xfId="10607"/>
    <cellStyle name="40% - Accent6 2 2 3 2_Note Calc" xfId="26987"/>
    <cellStyle name="40% - Accent6 2 2 3 3" xfId="11232"/>
    <cellStyle name="40% - Accent6 2 2 3 4" xfId="9919"/>
    <cellStyle name="40% - Accent6 2 2 3_Forecast" xfId="22463"/>
    <cellStyle name="40% - Accent6 2 2 4" xfId="8317"/>
    <cellStyle name="40% - Accent6 2 2 4 2" xfId="9242"/>
    <cellStyle name="40% - Accent6 2 2 4 2 2" xfId="11933"/>
    <cellStyle name="40% - Accent6 2 2 4 2 3" xfId="10620"/>
    <cellStyle name="40% - Accent6 2 2 4 2_Note Calc" xfId="26988"/>
    <cellStyle name="40% - Accent6 2 2 4 3" xfId="11245"/>
    <cellStyle name="40% - Accent6 2 2 4 4" xfId="9932"/>
    <cellStyle name="40% - Accent6 2 2 4_Forecast" xfId="22464"/>
    <cellStyle name="40% - Accent6 2 2 5" xfId="21486"/>
    <cellStyle name="40% - Accent6 2 2_Note Calc" xfId="26985"/>
    <cellStyle name="40% - Accent6 2 20" xfId="355"/>
    <cellStyle name="40% - Accent6 2 21" xfId="356"/>
    <cellStyle name="40% - Accent6 2 22" xfId="357"/>
    <cellStyle name="40% - Accent6 2 23" xfId="358"/>
    <cellStyle name="40% - Accent6 2 24" xfId="359"/>
    <cellStyle name="40% - Accent6 2 25" xfId="360"/>
    <cellStyle name="40% - Accent6 2 26" xfId="361"/>
    <cellStyle name="40% - Accent6 2 27" xfId="362"/>
    <cellStyle name="40% - Accent6 2 28" xfId="363"/>
    <cellStyle name="40% - Accent6 2 29" xfId="364"/>
    <cellStyle name="40% - Accent6 2 3" xfId="365"/>
    <cellStyle name="40% - Accent6 2 3 2" xfId="7637"/>
    <cellStyle name="40% - Accent6 2 3 2 2" xfId="9076"/>
    <cellStyle name="40% - Accent6 2 3 2 2 2" xfId="11767"/>
    <cellStyle name="40% - Accent6 2 3 2 2 3" xfId="10454"/>
    <cellStyle name="40% - Accent6 2 3 2 2_Note Calc" xfId="26990"/>
    <cellStyle name="40% - Accent6 2 3 2 3" xfId="11079"/>
    <cellStyle name="40% - Accent6 2 3 2 4" xfId="9766"/>
    <cellStyle name="40% - Accent6 2 3 2_Forecast" xfId="22465"/>
    <cellStyle name="40% - Accent6 2 3 3" xfId="8280"/>
    <cellStyle name="40% - Accent6 2 3 3 2" xfId="9230"/>
    <cellStyle name="40% - Accent6 2 3 3 2 2" xfId="11921"/>
    <cellStyle name="40% - Accent6 2 3 3 2 3" xfId="10608"/>
    <cellStyle name="40% - Accent6 2 3 3 2_Note Calc" xfId="26991"/>
    <cellStyle name="40% - Accent6 2 3 3 3" xfId="11233"/>
    <cellStyle name="40% - Accent6 2 3 3 4" xfId="9920"/>
    <cellStyle name="40% - Accent6 2 3 3_Forecast" xfId="22466"/>
    <cellStyle name="40% - Accent6 2 3 4" xfId="8316"/>
    <cellStyle name="40% - Accent6 2 3 4 2" xfId="9241"/>
    <cellStyle name="40% - Accent6 2 3 4 2 2" xfId="11932"/>
    <cellStyle name="40% - Accent6 2 3 4 2 3" xfId="10619"/>
    <cellStyle name="40% - Accent6 2 3 4 2_Note Calc" xfId="26992"/>
    <cellStyle name="40% - Accent6 2 3 4 3" xfId="11244"/>
    <cellStyle name="40% - Accent6 2 3 4 4" xfId="9931"/>
    <cellStyle name="40% - Accent6 2 3 4_Forecast" xfId="22467"/>
    <cellStyle name="40% - Accent6 2 3 5" xfId="21487"/>
    <cellStyle name="40% - Accent6 2 3_Note Calc" xfId="26989"/>
    <cellStyle name="40% - Accent6 2 30" xfId="366"/>
    <cellStyle name="40% - Accent6 2 31" xfId="7635"/>
    <cellStyle name="40% - Accent6 2 31 2" xfId="9074"/>
    <cellStyle name="40% - Accent6 2 31 2 2" xfId="11765"/>
    <cellStyle name="40% - Accent6 2 31 2 3" xfId="10452"/>
    <cellStyle name="40% - Accent6 2 31 2_Note Calc" xfId="26993"/>
    <cellStyle name="40% - Accent6 2 31 3" xfId="11077"/>
    <cellStyle name="40% - Accent6 2 31 4" xfId="9764"/>
    <cellStyle name="40% - Accent6 2 31_Forecast" xfId="22468"/>
    <cellStyle name="40% - Accent6 2 32" xfId="8278"/>
    <cellStyle name="40% - Accent6 2 32 2" xfId="9228"/>
    <cellStyle name="40% - Accent6 2 32 2 2" xfId="11919"/>
    <cellStyle name="40% - Accent6 2 32 2 3" xfId="10606"/>
    <cellStyle name="40% - Accent6 2 32 2_Note Calc" xfId="26994"/>
    <cellStyle name="40% - Accent6 2 32 3" xfId="11231"/>
    <cellStyle name="40% - Accent6 2 32 4" xfId="9918"/>
    <cellStyle name="40% - Accent6 2 32_Forecast" xfId="22469"/>
    <cellStyle name="40% - Accent6 2 33" xfId="8318"/>
    <cellStyle name="40% - Accent6 2 33 2" xfId="9243"/>
    <cellStyle name="40% - Accent6 2 33 2 2" xfId="11934"/>
    <cellStyle name="40% - Accent6 2 33 2 3" xfId="10621"/>
    <cellStyle name="40% - Accent6 2 33 2_Note Calc" xfId="26995"/>
    <cellStyle name="40% - Accent6 2 33 3" xfId="11246"/>
    <cellStyle name="40% - Accent6 2 33 4" xfId="9933"/>
    <cellStyle name="40% - Accent6 2 33_Forecast" xfId="22470"/>
    <cellStyle name="40% - Accent6 2 34" xfId="12110"/>
    <cellStyle name="40% - Accent6 2 35" xfId="15048"/>
    <cellStyle name="40% - Accent6 2 36" xfId="26996"/>
    <cellStyle name="40% - Accent6 2 4" xfId="367"/>
    <cellStyle name="40% - Accent6 2 4 2" xfId="7638"/>
    <cellStyle name="40% - Accent6 2 4 2 2" xfId="9077"/>
    <cellStyle name="40% - Accent6 2 4 2 2 2" xfId="11768"/>
    <cellStyle name="40% - Accent6 2 4 2 2 3" xfId="10455"/>
    <cellStyle name="40% - Accent6 2 4 2 2_Note Calc" xfId="26998"/>
    <cellStyle name="40% - Accent6 2 4 2 3" xfId="11080"/>
    <cellStyle name="40% - Accent6 2 4 2 4" xfId="9767"/>
    <cellStyle name="40% - Accent6 2 4 2_Forecast" xfId="22471"/>
    <cellStyle name="40% - Accent6 2 4 3" xfId="8281"/>
    <cellStyle name="40% - Accent6 2 4 3 2" xfId="9231"/>
    <cellStyle name="40% - Accent6 2 4 3 2 2" xfId="11922"/>
    <cellStyle name="40% - Accent6 2 4 3 2 3" xfId="10609"/>
    <cellStyle name="40% - Accent6 2 4 3 2_Note Calc" xfId="26999"/>
    <cellStyle name="40% - Accent6 2 4 3 3" xfId="11234"/>
    <cellStyle name="40% - Accent6 2 4 3 4" xfId="9921"/>
    <cellStyle name="40% - Accent6 2 4 3_Forecast" xfId="22472"/>
    <cellStyle name="40% - Accent6 2 4 4" xfId="8315"/>
    <cellStyle name="40% - Accent6 2 4 4 2" xfId="9240"/>
    <cellStyle name="40% - Accent6 2 4 4 2 2" xfId="11931"/>
    <cellStyle name="40% - Accent6 2 4 4 2 3" xfId="10618"/>
    <cellStyle name="40% - Accent6 2 4 4 2_Note Calc" xfId="27000"/>
    <cellStyle name="40% - Accent6 2 4 4 3" xfId="11243"/>
    <cellStyle name="40% - Accent6 2 4 4 4" xfId="9930"/>
    <cellStyle name="40% - Accent6 2 4 4_Forecast" xfId="22473"/>
    <cellStyle name="40% - Accent6 2 4 5" xfId="21488"/>
    <cellStyle name="40% - Accent6 2 4_Note Calc" xfId="26997"/>
    <cellStyle name="40% - Accent6 2 5" xfId="368"/>
    <cellStyle name="40% - Accent6 2 5 2" xfId="7639"/>
    <cellStyle name="40% - Accent6 2 5 2 2" xfId="9078"/>
    <cellStyle name="40% - Accent6 2 5 2 2 2" xfId="11769"/>
    <cellStyle name="40% - Accent6 2 5 2 2 3" xfId="10456"/>
    <cellStyle name="40% - Accent6 2 5 2 2_Note Calc" xfId="27002"/>
    <cellStyle name="40% - Accent6 2 5 2 3" xfId="11081"/>
    <cellStyle name="40% - Accent6 2 5 2 4" xfId="9768"/>
    <cellStyle name="40% - Accent6 2 5 2_Forecast" xfId="22474"/>
    <cellStyle name="40% - Accent6 2 5 3" xfId="8282"/>
    <cellStyle name="40% - Accent6 2 5 3 2" xfId="9232"/>
    <cellStyle name="40% - Accent6 2 5 3 2 2" xfId="11923"/>
    <cellStyle name="40% - Accent6 2 5 3 2 3" xfId="10610"/>
    <cellStyle name="40% - Accent6 2 5 3 2_Note Calc" xfId="27003"/>
    <cellStyle name="40% - Accent6 2 5 3 3" xfId="11235"/>
    <cellStyle name="40% - Accent6 2 5 3 4" xfId="9922"/>
    <cellStyle name="40% - Accent6 2 5 3_Forecast" xfId="22475"/>
    <cellStyle name="40% - Accent6 2 5 4" xfId="8314"/>
    <cellStyle name="40% - Accent6 2 5 4 2" xfId="9239"/>
    <cellStyle name="40% - Accent6 2 5 4 2 2" xfId="11930"/>
    <cellStyle name="40% - Accent6 2 5 4 2 3" xfId="10617"/>
    <cellStyle name="40% - Accent6 2 5 4 2_Note Calc" xfId="27004"/>
    <cellStyle name="40% - Accent6 2 5 4 3" xfId="11242"/>
    <cellStyle name="40% - Accent6 2 5 4 4" xfId="9929"/>
    <cellStyle name="40% - Accent6 2 5 4_Forecast" xfId="22476"/>
    <cellStyle name="40% - Accent6 2 5_Note Calc" xfId="27001"/>
    <cellStyle name="40% - Accent6 2 6" xfId="369"/>
    <cellStyle name="40% - Accent6 2 6 2" xfId="7640"/>
    <cellStyle name="40% - Accent6 2 6 2 2" xfId="9079"/>
    <cellStyle name="40% - Accent6 2 6 2 2 2" xfId="11770"/>
    <cellStyle name="40% - Accent6 2 6 2 2 3" xfId="10457"/>
    <cellStyle name="40% - Accent6 2 6 2 2_Note Calc" xfId="27006"/>
    <cellStyle name="40% - Accent6 2 6 2 3" xfId="11082"/>
    <cellStyle name="40% - Accent6 2 6 2 4" xfId="9769"/>
    <cellStyle name="40% - Accent6 2 6 2_Forecast" xfId="22477"/>
    <cellStyle name="40% - Accent6 2 6 3" xfId="8283"/>
    <cellStyle name="40% - Accent6 2 6 3 2" xfId="9233"/>
    <cellStyle name="40% - Accent6 2 6 3 2 2" xfId="11924"/>
    <cellStyle name="40% - Accent6 2 6 3 2 3" xfId="10611"/>
    <cellStyle name="40% - Accent6 2 6 3 2_Note Calc" xfId="27007"/>
    <cellStyle name="40% - Accent6 2 6 3 3" xfId="11236"/>
    <cellStyle name="40% - Accent6 2 6 3 4" xfId="9923"/>
    <cellStyle name="40% - Accent6 2 6 3_Forecast" xfId="22478"/>
    <cellStyle name="40% - Accent6 2 6 4" xfId="8312"/>
    <cellStyle name="40% - Accent6 2 6 4 2" xfId="9238"/>
    <cellStyle name="40% - Accent6 2 6 4 2 2" xfId="11929"/>
    <cellStyle name="40% - Accent6 2 6 4 2 3" xfId="10616"/>
    <cellStyle name="40% - Accent6 2 6 4 2_Note Calc" xfId="27008"/>
    <cellStyle name="40% - Accent6 2 6 4 3" xfId="11241"/>
    <cellStyle name="40% - Accent6 2 6 4 4" xfId="9928"/>
    <cellStyle name="40% - Accent6 2 6 4_Forecast" xfId="22479"/>
    <cellStyle name="40% - Accent6 2 6_Note Calc" xfId="27005"/>
    <cellStyle name="40% - Accent6 2 7" xfId="370"/>
    <cellStyle name="40% - Accent6 2 7 2" xfId="7641"/>
    <cellStyle name="40% - Accent6 2 7 2 2" xfId="9080"/>
    <cellStyle name="40% - Accent6 2 7 2 2 2" xfId="11771"/>
    <cellStyle name="40% - Accent6 2 7 2 2 3" xfId="10458"/>
    <cellStyle name="40% - Accent6 2 7 2 2_Note Calc" xfId="27010"/>
    <cellStyle name="40% - Accent6 2 7 2 3" xfId="11083"/>
    <cellStyle name="40% - Accent6 2 7 2 4" xfId="9770"/>
    <cellStyle name="40% - Accent6 2 7 2_Forecast" xfId="22480"/>
    <cellStyle name="40% - Accent6 2 7 3" xfId="8284"/>
    <cellStyle name="40% - Accent6 2 7 3 2" xfId="9234"/>
    <cellStyle name="40% - Accent6 2 7 3 2 2" xfId="11925"/>
    <cellStyle name="40% - Accent6 2 7 3 2 3" xfId="10612"/>
    <cellStyle name="40% - Accent6 2 7 3 2_Note Calc" xfId="27011"/>
    <cellStyle name="40% - Accent6 2 7 3 3" xfId="11237"/>
    <cellStyle name="40% - Accent6 2 7 3 4" xfId="9924"/>
    <cellStyle name="40% - Accent6 2 7 3_Forecast" xfId="22481"/>
    <cellStyle name="40% - Accent6 2 7 4" xfId="8311"/>
    <cellStyle name="40% - Accent6 2 7 4 2" xfId="9237"/>
    <cellStyle name="40% - Accent6 2 7 4 2 2" xfId="11928"/>
    <cellStyle name="40% - Accent6 2 7 4 2 3" xfId="10615"/>
    <cellStyle name="40% - Accent6 2 7 4 2_Note Calc" xfId="27012"/>
    <cellStyle name="40% - Accent6 2 7 4 3" xfId="11240"/>
    <cellStyle name="40% - Accent6 2 7 4 4" xfId="9927"/>
    <cellStyle name="40% - Accent6 2 7 4_Forecast" xfId="22482"/>
    <cellStyle name="40% - Accent6 2 7_Note Calc" xfId="27009"/>
    <cellStyle name="40% - Accent6 2 8" xfId="371"/>
    <cellStyle name="40% - Accent6 2 9" xfId="372"/>
    <cellStyle name="40% - Accent6 2_Forecast" xfId="22483"/>
    <cellStyle name="40% - Accent6 20" xfId="15049"/>
    <cellStyle name="40% - Accent6 200" xfId="15050"/>
    <cellStyle name="40% - Accent6 201" xfId="15051"/>
    <cellStyle name="40% - Accent6 202" xfId="15052"/>
    <cellStyle name="40% - Accent6 203" xfId="15053"/>
    <cellStyle name="40% - Accent6 204" xfId="15054"/>
    <cellStyle name="40% - Accent6 205" xfId="15055"/>
    <cellStyle name="40% - Accent6 206" xfId="15056"/>
    <cellStyle name="40% - Accent6 207" xfId="15057"/>
    <cellStyle name="40% - Accent6 208" xfId="15058"/>
    <cellStyle name="40% - Accent6 209" xfId="15059"/>
    <cellStyle name="40% - Accent6 21" xfId="15060"/>
    <cellStyle name="40% - Accent6 210" xfId="15061"/>
    <cellStyle name="40% - Accent6 211" xfId="15062"/>
    <cellStyle name="40% - Accent6 212" xfId="15063"/>
    <cellStyle name="40% - Accent6 213" xfId="15064"/>
    <cellStyle name="40% - Accent6 214" xfId="15065"/>
    <cellStyle name="40% - Accent6 215" xfId="15066"/>
    <cellStyle name="40% - Accent6 216" xfId="15067"/>
    <cellStyle name="40% - Accent6 217" xfId="15068"/>
    <cellStyle name="40% - Accent6 218" xfId="15069"/>
    <cellStyle name="40% - Accent6 219" xfId="15070"/>
    <cellStyle name="40% - Accent6 22" xfId="15071"/>
    <cellStyle name="40% - Accent6 220" xfId="15072"/>
    <cellStyle name="40% - Accent6 221" xfId="15073"/>
    <cellStyle name="40% - Accent6 222" xfId="15074"/>
    <cellStyle name="40% - Accent6 223" xfId="15075"/>
    <cellStyle name="40% - Accent6 224" xfId="15076"/>
    <cellStyle name="40% - Accent6 225" xfId="15077"/>
    <cellStyle name="40% - Accent6 226" xfId="15078"/>
    <cellStyle name="40% - Accent6 227" xfId="15079"/>
    <cellStyle name="40% - Accent6 228" xfId="15080"/>
    <cellStyle name="40% - Accent6 229" xfId="15081"/>
    <cellStyle name="40% - Accent6 23" xfId="15082"/>
    <cellStyle name="40% - Accent6 230" xfId="15083"/>
    <cellStyle name="40% - Accent6 231" xfId="15084"/>
    <cellStyle name="40% - Accent6 232" xfId="15085"/>
    <cellStyle name="40% - Accent6 233" xfId="15086"/>
    <cellStyle name="40% - Accent6 234" xfId="15087"/>
    <cellStyle name="40% - Accent6 235" xfId="15088"/>
    <cellStyle name="40% - Accent6 236" xfId="15089"/>
    <cellStyle name="40% - Accent6 237" xfId="15090"/>
    <cellStyle name="40% - Accent6 238" xfId="15091"/>
    <cellStyle name="40% - Accent6 239" xfId="15092"/>
    <cellStyle name="40% - Accent6 24" xfId="15093"/>
    <cellStyle name="40% - Accent6 240" xfId="15094"/>
    <cellStyle name="40% - Accent6 241" xfId="15095"/>
    <cellStyle name="40% - Accent6 242" xfId="15096"/>
    <cellStyle name="40% - Accent6 243" xfId="15097"/>
    <cellStyle name="40% - Accent6 244" xfId="15098"/>
    <cellStyle name="40% - Accent6 245" xfId="21489"/>
    <cellStyle name="40% - Accent6 246" xfId="21490"/>
    <cellStyle name="40% - Accent6 247" xfId="21491"/>
    <cellStyle name="40% - Accent6 248" xfId="21492"/>
    <cellStyle name="40% - Accent6 249" xfId="21493"/>
    <cellStyle name="40% - Accent6 25" xfId="15099"/>
    <cellStyle name="40% - Accent6 250" xfId="21494"/>
    <cellStyle name="40% - Accent6 251" xfId="21495"/>
    <cellStyle name="40% - Accent6 252" xfId="21496"/>
    <cellStyle name="40% - Accent6 253" xfId="21497"/>
    <cellStyle name="40% - Accent6 254" xfId="21498"/>
    <cellStyle name="40% - Accent6 255" xfId="21499"/>
    <cellStyle name="40% - Accent6 256" xfId="21500"/>
    <cellStyle name="40% - Accent6 257" xfId="21501"/>
    <cellStyle name="40% - Accent6 258" xfId="21820"/>
    <cellStyle name="40% - Accent6 259" xfId="21821"/>
    <cellStyle name="40% - Accent6 26" xfId="15100"/>
    <cellStyle name="40% - Accent6 260" xfId="21822"/>
    <cellStyle name="40% - Accent6 261" xfId="21823"/>
    <cellStyle name="40% - Accent6 262" xfId="21744"/>
    <cellStyle name="40% - Accent6 263" xfId="21987"/>
    <cellStyle name="40% - Accent6 264" xfId="21883"/>
    <cellStyle name="40% - Accent6 265" xfId="27013"/>
    <cellStyle name="40% - Accent6 27" xfId="15101"/>
    <cellStyle name="40% - Accent6 28" xfId="15102"/>
    <cellStyle name="40% - Accent6 29" xfId="15103"/>
    <cellStyle name="40% - Accent6 3" xfId="7421"/>
    <cellStyle name="40% - Accent6 3 10" xfId="8863"/>
    <cellStyle name="40% - Accent6 3 10 2" xfId="11554"/>
    <cellStyle name="40% - Accent6 3 10 3" xfId="10241"/>
    <cellStyle name="40% - Accent6 3 10_Note Calc" xfId="27014"/>
    <cellStyle name="40% - Accent6 3 11" xfId="10866"/>
    <cellStyle name="40% - Accent6 3 12" xfId="9553"/>
    <cellStyle name="40% - Accent6 3 12 2" xfId="22484"/>
    <cellStyle name="40% - Accent6 3 12_Forecast" xfId="22485"/>
    <cellStyle name="40% - Accent6 3 13" xfId="15104"/>
    <cellStyle name="40% - Accent6 3 14" xfId="22486"/>
    <cellStyle name="40% - Accent6 3 2" xfId="7642"/>
    <cellStyle name="40% - Accent6 3 2 2" xfId="9081"/>
    <cellStyle name="40% - Accent6 3 2 2 2" xfId="11772"/>
    <cellStyle name="40% - Accent6 3 2 2 3" xfId="10459"/>
    <cellStyle name="40% - Accent6 3 2 2_Note Calc" xfId="27015"/>
    <cellStyle name="40% - Accent6 3 2 3" xfId="11084"/>
    <cellStyle name="40% - Accent6 3 2 4" xfId="9771"/>
    <cellStyle name="40% - Accent6 3 2_Forecast" xfId="22487"/>
    <cellStyle name="40% - Accent6 3 3" xfId="7643"/>
    <cellStyle name="40% - Accent6 3 3 2" xfId="9082"/>
    <cellStyle name="40% - Accent6 3 3 2 2" xfId="11773"/>
    <cellStyle name="40% - Accent6 3 3 2 3" xfId="10460"/>
    <cellStyle name="40% - Accent6 3 3 2_Note Calc" xfId="27016"/>
    <cellStyle name="40% - Accent6 3 3 3" xfId="11085"/>
    <cellStyle name="40% - Accent6 3 3 4" xfId="9772"/>
    <cellStyle name="40% - Accent6 3 3_Forecast" xfId="22488"/>
    <cellStyle name="40% - Accent6 3 4" xfId="7644"/>
    <cellStyle name="40% - Accent6 3 4 2" xfId="9083"/>
    <cellStyle name="40% - Accent6 3 4 2 2" xfId="11774"/>
    <cellStyle name="40% - Accent6 3 4 2 3" xfId="10461"/>
    <cellStyle name="40% - Accent6 3 4 2_Note Calc" xfId="27017"/>
    <cellStyle name="40% - Accent6 3 4 3" xfId="11086"/>
    <cellStyle name="40% - Accent6 3 4 4" xfId="9773"/>
    <cellStyle name="40% - Accent6 3 4_Forecast" xfId="22489"/>
    <cellStyle name="40% - Accent6 3 5" xfId="7645"/>
    <cellStyle name="40% - Accent6 3 5 2" xfId="9084"/>
    <cellStyle name="40% - Accent6 3 5 2 2" xfId="11775"/>
    <cellStyle name="40% - Accent6 3 5 2 3" xfId="10462"/>
    <cellStyle name="40% - Accent6 3 5 2_Note Calc" xfId="27018"/>
    <cellStyle name="40% - Accent6 3 5 3" xfId="11087"/>
    <cellStyle name="40% - Accent6 3 5 4" xfId="9774"/>
    <cellStyle name="40% - Accent6 3 5_Forecast" xfId="22490"/>
    <cellStyle name="40% - Accent6 3 6" xfId="7646"/>
    <cellStyle name="40% - Accent6 3 6 2" xfId="9085"/>
    <cellStyle name="40% - Accent6 3 6 2 2" xfId="11776"/>
    <cellStyle name="40% - Accent6 3 6 2 3" xfId="10463"/>
    <cellStyle name="40% - Accent6 3 6 2_Note Calc" xfId="27019"/>
    <cellStyle name="40% - Accent6 3 6 3" xfId="11088"/>
    <cellStyle name="40% - Accent6 3 6 4" xfId="9775"/>
    <cellStyle name="40% - Accent6 3 6_Forecast" xfId="22491"/>
    <cellStyle name="40% - Accent6 3 7" xfId="7647"/>
    <cellStyle name="40% - Accent6 3 7 2" xfId="9086"/>
    <cellStyle name="40% - Accent6 3 7 2 2" xfId="11777"/>
    <cellStyle name="40% - Accent6 3 7 2 3" xfId="10464"/>
    <cellStyle name="40% - Accent6 3 7 2_Note Calc" xfId="27020"/>
    <cellStyle name="40% - Accent6 3 7 3" xfId="11089"/>
    <cellStyle name="40% - Accent6 3 7 4" xfId="9776"/>
    <cellStyle name="40% - Accent6 3 7_Forecast" xfId="22492"/>
    <cellStyle name="40% - Accent6 3 8" xfId="8285"/>
    <cellStyle name="40% - Accent6 3 8 2" xfId="9235"/>
    <cellStyle name="40% - Accent6 3 8 2 2" xfId="11926"/>
    <cellStyle name="40% - Accent6 3 8 2 3" xfId="10613"/>
    <cellStyle name="40% - Accent6 3 8 2_Note Calc" xfId="27021"/>
    <cellStyle name="40% - Accent6 3 8 3" xfId="11238"/>
    <cellStyle name="40% - Accent6 3 8 4" xfId="9925"/>
    <cellStyle name="40% - Accent6 3 8_Forecast" xfId="22493"/>
    <cellStyle name="40% - Accent6 3 9" xfId="8310"/>
    <cellStyle name="40% - Accent6 3 9 2" xfId="9236"/>
    <cellStyle name="40% - Accent6 3 9 2 2" xfId="11927"/>
    <cellStyle name="40% - Accent6 3 9 2 3" xfId="10614"/>
    <cellStyle name="40% - Accent6 3 9 2_Note Calc" xfId="27022"/>
    <cellStyle name="40% - Accent6 3 9 3" xfId="11239"/>
    <cellStyle name="40% - Accent6 3 9 4" xfId="9926"/>
    <cellStyle name="40% - Accent6 3 9_Forecast" xfId="22494"/>
    <cellStyle name="40% - Accent6 3_Forecast" xfId="22495"/>
    <cellStyle name="40% - Accent6 30" xfId="15105"/>
    <cellStyle name="40% - Accent6 31" xfId="15106"/>
    <cellStyle name="40% - Accent6 32" xfId="15107"/>
    <cellStyle name="40% - Accent6 33" xfId="15108"/>
    <cellStyle name="40% - Accent6 34" xfId="15109"/>
    <cellStyle name="40% - Accent6 35" xfId="15110"/>
    <cellStyle name="40% - Accent6 36" xfId="15111"/>
    <cellStyle name="40% - Accent6 37" xfId="15112"/>
    <cellStyle name="40% - Accent6 38" xfId="15113"/>
    <cellStyle name="40% - Accent6 39" xfId="15114"/>
    <cellStyle name="40% - Accent6 4" xfId="7648"/>
    <cellStyle name="40% - Accent6 4 2" xfId="9087"/>
    <cellStyle name="40% - Accent6 4 2 2" xfId="11778"/>
    <cellStyle name="40% - Accent6 4 2 3" xfId="10465"/>
    <cellStyle name="40% - Accent6 4 2_Note Calc" xfId="27023"/>
    <cellStyle name="40% - Accent6 4 3" xfId="11090"/>
    <cellStyle name="40% - Accent6 4 4" xfId="9777"/>
    <cellStyle name="40% - Accent6 4 5" xfId="15115"/>
    <cellStyle name="40% - Accent6 4_Forecast" xfId="22496"/>
    <cellStyle name="40% - Accent6 40" xfId="15116"/>
    <cellStyle name="40% - Accent6 41" xfId="15117"/>
    <cellStyle name="40% - Accent6 42" xfId="15118"/>
    <cellStyle name="40% - Accent6 43" xfId="15119"/>
    <cellStyle name="40% - Accent6 44" xfId="15120"/>
    <cellStyle name="40% - Accent6 45" xfId="15121"/>
    <cellStyle name="40% - Accent6 46" xfId="15122"/>
    <cellStyle name="40% - Accent6 47" xfId="15123"/>
    <cellStyle name="40% - Accent6 48" xfId="15124"/>
    <cellStyle name="40% - Accent6 49" xfId="15125"/>
    <cellStyle name="40% - Accent6 5" xfId="7649"/>
    <cellStyle name="40% - Accent6 5 2" xfId="9088"/>
    <cellStyle name="40% - Accent6 5 2 2" xfId="11779"/>
    <cellStyle name="40% - Accent6 5 2 3" xfId="10466"/>
    <cellStyle name="40% - Accent6 5 2_Note Calc" xfId="27024"/>
    <cellStyle name="40% - Accent6 5 3" xfId="11091"/>
    <cellStyle name="40% - Accent6 5 4" xfId="9778"/>
    <cellStyle name="40% - Accent6 5 5" xfId="15126"/>
    <cellStyle name="40% - Accent6 5_Forecast" xfId="22497"/>
    <cellStyle name="40% - Accent6 50" xfId="15127"/>
    <cellStyle name="40% - Accent6 51" xfId="15128"/>
    <cellStyle name="40% - Accent6 52" xfId="15129"/>
    <cellStyle name="40% - Accent6 53" xfId="15130"/>
    <cellStyle name="40% - Accent6 54" xfId="15131"/>
    <cellStyle name="40% - Accent6 55" xfId="15132"/>
    <cellStyle name="40% - Accent6 56" xfId="15133"/>
    <cellStyle name="40% - Accent6 57" xfId="15134"/>
    <cellStyle name="40% - Accent6 58" xfId="15135"/>
    <cellStyle name="40% - Accent6 59" xfId="15136"/>
    <cellStyle name="40% - Accent6 6" xfId="7650"/>
    <cellStyle name="40% - Accent6 6 2" xfId="9089"/>
    <cellStyle name="40% - Accent6 6 2 2" xfId="11780"/>
    <cellStyle name="40% - Accent6 6 2 3" xfId="10467"/>
    <cellStyle name="40% - Accent6 6 2_Note Calc" xfId="27025"/>
    <cellStyle name="40% - Accent6 6 3" xfId="11092"/>
    <cellStyle name="40% - Accent6 6 4" xfId="9779"/>
    <cellStyle name="40% - Accent6 6 5" xfId="15137"/>
    <cellStyle name="40% - Accent6 6_Forecast" xfId="22498"/>
    <cellStyle name="40% - Accent6 60" xfId="15138"/>
    <cellStyle name="40% - Accent6 61" xfId="15139"/>
    <cellStyle name="40% - Accent6 62" xfId="15140"/>
    <cellStyle name="40% - Accent6 63" xfId="15141"/>
    <cellStyle name="40% - Accent6 64" xfId="15142"/>
    <cellStyle name="40% - Accent6 65" xfId="15143"/>
    <cellStyle name="40% - Accent6 66" xfId="15144"/>
    <cellStyle name="40% - Accent6 67" xfId="15145"/>
    <cellStyle name="40% - Accent6 68" xfId="15146"/>
    <cellStyle name="40% - Accent6 69" xfId="15147"/>
    <cellStyle name="40% - Accent6 7" xfId="7651"/>
    <cellStyle name="40% - Accent6 7 2" xfId="9090"/>
    <cellStyle name="40% - Accent6 7 2 2" xfId="11781"/>
    <cellStyle name="40% - Accent6 7 2 3" xfId="10468"/>
    <cellStyle name="40% - Accent6 7 2_Note Calc" xfId="27026"/>
    <cellStyle name="40% - Accent6 7 3" xfId="11093"/>
    <cellStyle name="40% - Accent6 7 4" xfId="9780"/>
    <cellStyle name="40% - Accent6 7 5" xfId="15148"/>
    <cellStyle name="40% - Accent6 7_Forecast" xfId="22499"/>
    <cellStyle name="40% - Accent6 70" xfId="15149"/>
    <cellStyle name="40% - Accent6 71" xfId="15150"/>
    <cellStyle name="40% - Accent6 72" xfId="15151"/>
    <cellStyle name="40% - Accent6 73" xfId="15152"/>
    <cellStyle name="40% - Accent6 74" xfId="15153"/>
    <cellStyle name="40% - Accent6 75" xfId="15154"/>
    <cellStyle name="40% - Accent6 76" xfId="15155"/>
    <cellStyle name="40% - Accent6 77" xfId="15156"/>
    <cellStyle name="40% - Accent6 78" xfId="15157"/>
    <cellStyle name="40% - Accent6 79" xfId="15158"/>
    <cellStyle name="40% - Accent6 8" xfId="7652"/>
    <cellStyle name="40% - Accent6 8 2" xfId="9091"/>
    <cellStyle name="40% - Accent6 8 2 2" xfId="11782"/>
    <cellStyle name="40% - Accent6 8 2 3" xfId="10469"/>
    <cellStyle name="40% - Accent6 8 2_Note Calc" xfId="27027"/>
    <cellStyle name="40% - Accent6 8 3" xfId="11094"/>
    <cellStyle name="40% - Accent6 8 4" xfId="9781"/>
    <cellStyle name="40% - Accent6 8 5" xfId="15159"/>
    <cellStyle name="40% - Accent6 8_Forecast" xfId="22500"/>
    <cellStyle name="40% - Accent6 80" xfId="15160"/>
    <cellStyle name="40% - Accent6 81" xfId="15161"/>
    <cellStyle name="40% - Accent6 82" xfId="15162"/>
    <cellStyle name="40% - Accent6 83" xfId="15163"/>
    <cellStyle name="40% - Accent6 84" xfId="15164"/>
    <cellStyle name="40% - Accent6 85" xfId="15165"/>
    <cellStyle name="40% - Accent6 86" xfId="15166"/>
    <cellStyle name="40% - Accent6 87" xfId="15167"/>
    <cellStyle name="40% - Accent6 88" xfId="15168"/>
    <cellStyle name="40% - Accent6 89" xfId="15169"/>
    <cellStyle name="40% - Accent6 9" xfId="7653"/>
    <cellStyle name="40% - Accent6 9 2" xfId="9092"/>
    <cellStyle name="40% - Accent6 9 2 2" xfId="11783"/>
    <cellStyle name="40% - Accent6 9 2 3" xfId="10470"/>
    <cellStyle name="40% - Accent6 9 2_Note Calc" xfId="27028"/>
    <cellStyle name="40% - Accent6 9 3" xfId="11095"/>
    <cellStyle name="40% - Accent6 9 4" xfId="9782"/>
    <cellStyle name="40% - Accent6 9 5" xfId="15170"/>
    <cellStyle name="40% - Accent6 9_Forecast" xfId="22501"/>
    <cellStyle name="40% - Accent6 90" xfId="15171"/>
    <cellStyle name="40% - Accent6 91" xfId="15172"/>
    <cellStyle name="40% - Accent6 92" xfId="15173"/>
    <cellStyle name="40% - Accent6 93" xfId="15174"/>
    <cellStyle name="40% - Accent6 94" xfId="15175"/>
    <cellStyle name="40% - Accent6 95" xfId="15176"/>
    <cellStyle name="40% - Accent6 96" xfId="15177"/>
    <cellStyle name="40% - Accent6 97" xfId="15178"/>
    <cellStyle name="40% - Accent6 98" xfId="15179"/>
    <cellStyle name="40% - Accent6 99" xfId="15180"/>
    <cellStyle name="60% - Accent1" xfId="373" builtinId="32" customBuiltin="1"/>
    <cellStyle name="60% - Accent1 10" xfId="12237"/>
    <cellStyle name="60% - Accent1 100" xfId="15181"/>
    <cellStyle name="60% - Accent1 101" xfId="15182"/>
    <cellStyle name="60% - Accent1 102" xfId="15183"/>
    <cellStyle name="60% - Accent1 103" xfId="15184"/>
    <cellStyle name="60% - Accent1 104" xfId="15185"/>
    <cellStyle name="60% - Accent1 105" xfId="15186"/>
    <cellStyle name="60% - Accent1 106" xfId="15187"/>
    <cellStyle name="60% - Accent1 107" xfId="15188"/>
    <cellStyle name="60% - Accent1 108" xfId="15189"/>
    <cellStyle name="60% - Accent1 109" xfId="15190"/>
    <cellStyle name="60% - Accent1 11" xfId="15191"/>
    <cellStyle name="60% - Accent1 110" xfId="15192"/>
    <cellStyle name="60% - Accent1 111" xfId="15193"/>
    <cellStyle name="60% - Accent1 112" xfId="15194"/>
    <cellStyle name="60% - Accent1 113" xfId="15195"/>
    <cellStyle name="60% - Accent1 114" xfId="15196"/>
    <cellStyle name="60% - Accent1 115" xfId="15197"/>
    <cellStyle name="60% - Accent1 116" xfId="15198"/>
    <cellStyle name="60% - Accent1 117" xfId="15199"/>
    <cellStyle name="60% - Accent1 118" xfId="15200"/>
    <cellStyle name="60% - Accent1 119" xfId="15201"/>
    <cellStyle name="60% - Accent1 12" xfId="15202"/>
    <cellStyle name="60% - Accent1 120" xfId="15203"/>
    <cellStyle name="60% - Accent1 121" xfId="15204"/>
    <cellStyle name="60% - Accent1 122" xfId="15205"/>
    <cellStyle name="60% - Accent1 123" xfId="15206"/>
    <cellStyle name="60% - Accent1 124" xfId="15207"/>
    <cellStyle name="60% - Accent1 125" xfId="15208"/>
    <cellStyle name="60% - Accent1 126" xfId="15209"/>
    <cellStyle name="60% - Accent1 127" xfId="15210"/>
    <cellStyle name="60% - Accent1 128" xfId="15211"/>
    <cellStyle name="60% - Accent1 129" xfId="15212"/>
    <cellStyle name="60% - Accent1 13" xfId="15213"/>
    <cellStyle name="60% - Accent1 130" xfId="15214"/>
    <cellStyle name="60% - Accent1 131" xfId="15215"/>
    <cellStyle name="60% - Accent1 132" xfId="15216"/>
    <cellStyle name="60% - Accent1 133" xfId="15217"/>
    <cellStyle name="60% - Accent1 134" xfId="15218"/>
    <cellStyle name="60% - Accent1 135" xfId="15219"/>
    <cellStyle name="60% - Accent1 136" xfId="15220"/>
    <cellStyle name="60% - Accent1 137" xfId="15221"/>
    <cellStyle name="60% - Accent1 138" xfId="15222"/>
    <cellStyle name="60% - Accent1 139" xfId="15223"/>
    <cellStyle name="60% - Accent1 14" xfId="15224"/>
    <cellStyle name="60% - Accent1 140" xfId="15225"/>
    <cellStyle name="60% - Accent1 141" xfId="15226"/>
    <cellStyle name="60% - Accent1 142" xfId="15227"/>
    <cellStyle name="60% - Accent1 143" xfId="15228"/>
    <cellStyle name="60% - Accent1 144" xfId="15229"/>
    <cellStyle name="60% - Accent1 145" xfId="15230"/>
    <cellStyle name="60% - Accent1 146" xfId="15231"/>
    <cellStyle name="60% - Accent1 147" xfId="15232"/>
    <cellStyle name="60% - Accent1 148" xfId="15233"/>
    <cellStyle name="60% - Accent1 149" xfId="15234"/>
    <cellStyle name="60% - Accent1 15" xfId="15235"/>
    <cellStyle name="60% - Accent1 150" xfId="15236"/>
    <cellStyle name="60% - Accent1 151" xfId="15237"/>
    <cellStyle name="60% - Accent1 152" xfId="15238"/>
    <cellStyle name="60% - Accent1 153" xfId="15239"/>
    <cellStyle name="60% - Accent1 154" xfId="15240"/>
    <cellStyle name="60% - Accent1 155" xfId="15241"/>
    <cellStyle name="60% - Accent1 156" xfId="15242"/>
    <cellStyle name="60% - Accent1 157" xfId="15243"/>
    <cellStyle name="60% - Accent1 158" xfId="15244"/>
    <cellStyle name="60% - Accent1 159" xfId="15245"/>
    <cellStyle name="60% - Accent1 16" xfId="15246"/>
    <cellStyle name="60% - Accent1 160" xfId="15247"/>
    <cellStyle name="60% - Accent1 161" xfId="15248"/>
    <cellStyle name="60% - Accent1 162" xfId="15249"/>
    <cellStyle name="60% - Accent1 163" xfId="15250"/>
    <cellStyle name="60% - Accent1 163 2" xfId="21502"/>
    <cellStyle name="60% - Accent1 163 3" xfId="21503"/>
    <cellStyle name="60% - Accent1 163_Note Calc" xfId="27029"/>
    <cellStyle name="60% - Accent1 164" xfId="15251"/>
    <cellStyle name="60% - Accent1 165" xfId="15252"/>
    <cellStyle name="60% - Accent1 166" xfId="15253"/>
    <cellStyle name="60% - Accent1 167" xfId="15254"/>
    <cellStyle name="60% - Accent1 168" xfId="15255"/>
    <cellStyle name="60% - Accent1 169" xfId="15256"/>
    <cellStyle name="60% - Accent1 17" xfId="15257"/>
    <cellStyle name="60% - Accent1 170" xfId="15258"/>
    <cellStyle name="60% - Accent1 171" xfId="15259"/>
    <cellStyle name="60% - Accent1 172" xfId="15260"/>
    <cellStyle name="60% - Accent1 173" xfId="15261"/>
    <cellStyle name="60% - Accent1 174" xfId="15262"/>
    <cellStyle name="60% - Accent1 175" xfId="15263"/>
    <cellStyle name="60% - Accent1 176" xfId="15264"/>
    <cellStyle name="60% - Accent1 177" xfId="15265"/>
    <cellStyle name="60% - Accent1 178" xfId="15266"/>
    <cellStyle name="60% - Accent1 179" xfId="15267"/>
    <cellStyle name="60% - Accent1 18" xfId="15268"/>
    <cellStyle name="60% - Accent1 180" xfId="15269"/>
    <cellStyle name="60% - Accent1 181" xfId="15270"/>
    <cellStyle name="60% - Accent1 182" xfId="15271"/>
    <cellStyle name="60% - Accent1 183" xfId="15272"/>
    <cellStyle name="60% - Accent1 184" xfId="15273"/>
    <cellStyle name="60% - Accent1 185" xfId="15274"/>
    <cellStyle name="60% - Accent1 186" xfId="15275"/>
    <cellStyle name="60% - Accent1 187" xfId="15276"/>
    <cellStyle name="60% - Accent1 188" xfId="15277"/>
    <cellStyle name="60% - Accent1 189" xfId="15278"/>
    <cellStyle name="60% - Accent1 19" xfId="15279"/>
    <cellStyle name="60% - Accent1 190" xfId="15280"/>
    <cellStyle name="60% - Accent1 191" xfId="15281"/>
    <cellStyle name="60% - Accent1 192" xfId="15282"/>
    <cellStyle name="60% - Accent1 193" xfId="15283"/>
    <cellStyle name="60% - Accent1 194" xfId="15284"/>
    <cellStyle name="60% - Accent1 195" xfId="15285"/>
    <cellStyle name="60% - Accent1 196" xfId="15286"/>
    <cellStyle name="60% - Accent1 197" xfId="15287"/>
    <cellStyle name="60% - Accent1 198" xfId="15288"/>
    <cellStyle name="60% - Accent1 199" xfId="15289"/>
    <cellStyle name="60% - Accent1 2" xfId="374"/>
    <cellStyle name="60% - Accent1 2 10" xfId="12111"/>
    <cellStyle name="60% - Accent1 2 11" xfId="15290"/>
    <cellStyle name="60% - Accent1 2 12" xfId="27031"/>
    <cellStyle name="60% - Accent1 2 2" xfId="7654"/>
    <cellStyle name="60% - Accent1 2 2 2" xfId="21504"/>
    <cellStyle name="60% - Accent1 2 2_Note Calc" xfId="27032"/>
    <cellStyle name="60% - Accent1 2 3" xfId="7656"/>
    <cellStyle name="60% - Accent1 2 3 2" xfId="21505"/>
    <cellStyle name="60% - Accent1 2 3_Note Calc" xfId="27033"/>
    <cellStyle name="60% - Accent1 2 4" xfId="7657"/>
    <cellStyle name="60% - Accent1 2 4 2" xfId="21506"/>
    <cellStyle name="60% - Accent1 2 4_Note Calc" xfId="27034"/>
    <cellStyle name="60% - Accent1 2 5" xfId="7658"/>
    <cellStyle name="60% - Accent1 2 6" xfId="7659"/>
    <cellStyle name="60% - Accent1 2 7" xfId="7660"/>
    <cellStyle name="60% - Accent1 2 8" xfId="8287"/>
    <cellStyle name="60% - Accent1 2 9" xfId="8309"/>
    <cellStyle name="60% - Accent1 2_Note Calc" xfId="27030"/>
    <cellStyle name="60% - Accent1 20" xfId="15291"/>
    <cellStyle name="60% - Accent1 200" xfId="15292"/>
    <cellStyle name="60% - Accent1 201" xfId="21824"/>
    <cellStyle name="60% - Accent1 202" xfId="21725"/>
    <cellStyle name="60% - Accent1 203" xfId="21968"/>
    <cellStyle name="60% - Accent1 204" xfId="21900"/>
    <cellStyle name="60% - Accent1 205" xfId="27035"/>
    <cellStyle name="60% - Accent1 21" xfId="15293"/>
    <cellStyle name="60% - Accent1 22" xfId="15294"/>
    <cellStyle name="60% - Accent1 23" xfId="15295"/>
    <cellStyle name="60% - Accent1 24" xfId="15296"/>
    <cellStyle name="60% - Accent1 25" xfId="15297"/>
    <cellStyle name="60% - Accent1 26" xfId="15298"/>
    <cellStyle name="60% - Accent1 27" xfId="15299"/>
    <cellStyle name="60% - Accent1 28" xfId="15300"/>
    <cellStyle name="60% - Accent1 29" xfId="15301"/>
    <cellStyle name="60% - Accent1 3" xfId="7661"/>
    <cellStyle name="60% - Accent1 3 2" xfId="7662"/>
    <cellStyle name="60% - Accent1 3 3" xfId="7663"/>
    <cellStyle name="60% - Accent1 3 4" xfId="7664"/>
    <cellStyle name="60% - Accent1 3 5" xfId="7665"/>
    <cellStyle name="60% - Accent1 3 6" xfId="7666"/>
    <cellStyle name="60% - Accent1 3 7" xfId="7667"/>
    <cellStyle name="60% - Accent1 3 8" xfId="15302"/>
    <cellStyle name="60% - Accent1 3 9" xfId="27036"/>
    <cellStyle name="60% - Accent1 3_Forecast" xfId="22502"/>
    <cellStyle name="60% - Accent1 30" xfId="15303"/>
    <cellStyle name="60% - Accent1 31" xfId="15304"/>
    <cellStyle name="60% - Accent1 32" xfId="15305"/>
    <cellStyle name="60% - Accent1 33" xfId="15306"/>
    <cellStyle name="60% - Accent1 34" xfId="15307"/>
    <cellStyle name="60% - Accent1 35" xfId="15308"/>
    <cellStyle name="60% - Accent1 36" xfId="15309"/>
    <cellStyle name="60% - Accent1 37" xfId="15310"/>
    <cellStyle name="60% - Accent1 38" xfId="15311"/>
    <cellStyle name="60% - Accent1 39" xfId="15312"/>
    <cellStyle name="60% - Accent1 4" xfId="7668"/>
    <cellStyle name="60% - Accent1 4 2" xfId="15313"/>
    <cellStyle name="60% - Accent1 4_Note Calc" xfId="27037"/>
    <cellStyle name="60% - Accent1 40" xfId="15314"/>
    <cellStyle name="60% - Accent1 41" xfId="15315"/>
    <cellStyle name="60% - Accent1 42" xfId="15316"/>
    <cellStyle name="60% - Accent1 43" xfId="15317"/>
    <cellStyle name="60% - Accent1 44" xfId="15318"/>
    <cellStyle name="60% - Accent1 45" xfId="15319"/>
    <cellStyle name="60% - Accent1 46" xfId="15320"/>
    <cellStyle name="60% - Accent1 47" xfId="15321"/>
    <cellStyle name="60% - Accent1 48" xfId="15322"/>
    <cellStyle name="60% - Accent1 49" xfId="15323"/>
    <cellStyle name="60% - Accent1 5" xfId="7669"/>
    <cellStyle name="60% - Accent1 5 2" xfId="15324"/>
    <cellStyle name="60% - Accent1 5_Note Calc" xfId="27038"/>
    <cellStyle name="60% - Accent1 50" xfId="15325"/>
    <cellStyle name="60% - Accent1 51" xfId="15326"/>
    <cellStyle name="60% - Accent1 52" xfId="15327"/>
    <cellStyle name="60% - Accent1 53" xfId="15328"/>
    <cellStyle name="60% - Accent1 54" xfId="15329"/>
    <cellStyle name="60% - Accent1 55" xfId="15330"/>
    <cellStyle name="60% - Accent1 56" xfId="15331"/>
    <cellStyle name="60% - Accent1 57" xfId="15332"/>
    <cellStyle name="60% - Accent1 58" xfId="15333"/>
    <cellStyle name="60% - Accent1 59" xfId="15334"/>
    <cellStyle name="60% - Accent1 6" xfId="7670"/>
    <cellStyle name="60% - Accent1 6 2" xfId="15335"/>
    <cellStyle name="60% - Accent1 6_Note Calc" xfId="27039"/>
    <cellStyle name="60% - Accent1 60" xfId="15336"/>
    <cellStyle name="60% - Accent1 61" xfId="15337"/>
    <cellStyle name="60% - Accent1 62" xfId="15338"/>
    <cellStyle name="60% - Accent1 63" xfId="15339"/>
    <cellStyle name="60% - Accent1 64" xfId="15340"/>
    <cellStyle name="60% - Accent1 65" xfId="15341"/>
    <cellStyle name="60% - Accent1 66" xfId="15342"/>
    <cellStyle name="60% - Accent1 67" xfId="15343"/>
    <cellStyle name="60% - Accent1 68" xfId="15344"/>
    <cellStyle name="60% - Accent1 69" xfId="15345"/>
    <cellStyle name="60% - Accent1 7" xfId="7671"/>
    <cellStyle name="60% - Accent1 7 2" xfId="15346"/>
    <cellStyle name="60% - Accent1 7_Note Calc" xfId="27040"/>
    <cellStyle name="60% - Accent1 70" xfId="15347"/>
    <cellStyle name="60% - Accent1 71" xfId="15348"/>
    <cellStyle name="60% - Accent1 72" xfId="15349"/>
    <cellStyle name="60% - Accent1 73" xfId="15350"/>
    <cellStyle name="60% - Accent1 74" xfId="15351"/>
    <cellStyle name="60% - Accent1 75" xfId="15352"/>
    <cellStyle name="60% - Accent1 76" xfId="15353"/>
    <cellStyle name="60% - Accent1 77" xfId="15354"/>
    <cellStyle name="60% - Accent1 78" xfId="15355"/>
    <cellStyle name="60% - Accent1 79" xfId="15356"/>
    <cellStyle name="60% - Accent1 8" xfId="7672"/>
    <cellStyle name="60% - Accent1 8 2" xfId="15357"/>
    <cellStyle name="60% - Accent1 8_Note Calc" xfId="27041"/>
    <cellStyle name="60% - Accent1 80" xfId="15358"/>
    <cellStyle name="60% - Accent1 81" xfId="15359"/>
    <cellStyle name="60% - Accent1 82" xfId="15360"/>
    <cellStyle name="60% - Accent1 83" xfId="15361"/>
    <cellStyle name="60% - Accent1 84" xfId="15362"/>
    <cellStyle name="60% - Accent1 85" xfId="15363"/>
    <cellStyle name="60% - Accent1 86" xfId="15364"/>
    <cellStyle name="60% - Accent1 87" xfId="15365"/>
    <cellStyle name="60% - Accent1 88" xfId="15366"/>
    <cellStyle name="60% - Accent1 89" xfId="15367"/>
    <cellStyle name="60% - Accent1 9" xfId="7673"/>
    <cellStyle name="60% - Accent1 9 2" xfId="15368"/>
    <cellStyle name="60% - Accent1 9_Note Calc" xfId="27042"/>
    <cellStyle name="60% - Accent1 90" xfId="15369"/>
    <cellStyle name="60% - Accent1 91" xfId="15370"/>
    <cellStyle name="60% - Accent1 92" xfId="15371"/>
    <cellStyle name="60% - Accent1 93" xfId="15372"/>
    <cellStyle name="60% - Accent1 94" xfId="15373"/>
    <cellStyle name="60% - Accent1 95" xfId="15374"/>
    <cellStyle name="60% - Accent1 96" xfId="15375"/>
    <cellStyle name="60% - Accent1 97" xfId="15376"/>
    <cellStyle name="60% - Accent1 98" xfId="15377"/>
    <cellStyle name="60% - Accent1 99" xfId="15378"/>
    <cellStyle name="60% - Accent2" xfId="375" builtinId="36" customBuiltin="1"/>
    <cellStyle name="60% - Accent2 10" xfId="12241"/>
    <cellStyle name="60% - Accent2 100" xfId="15379"/>
    <cellStyle name="60% - Accent2 101" xfId="15380"/>
    <cellStyle name="60% - Accent2 102" xfId="15381"/>
    <cellStyle name="60% - Accent2 103" xfId="15382"/>
    <cellStyle name="60% - Accent2 104" xfId="15383"/>
    <cellStyle name="60% - Accent2 105" xfId="15384"/>
    <cellStyle name="60% - Accent2 106" xfId="15385"/>
    <cellStyle name="60% - Accent2 107" xfId="15386"/>
    <cellStyle name="60% - Accent2 108" xfId="15387"/>
    <cellStyle name="60% - Accent2 109" xfId="15388"/>
    <cellStyle name="60% - Accent2 11" xfId="15389"/>
    <cellStyle name="60% - Accent2 110" xfId="15390"/>
    <cellStyle name="60% - Accent2 111" xfId="15391"/>
    <cellStyle name="60% - Accent2 112" xfId="15392"/>
    <cellStyle name="60% - Accent2 113" xfId="15393"/>
    <cellStyle name="60% - Accent2 114" xfId="15394"/>
    <cellStyle name="60% - Accent2 115" xfId="15395"/>
    <cellStyle name="60% - Accent2 116" xfId="15396"/>
    <cellStyle name="60% - Accent2 117" xfId="15397"/>
    <cellStyle name="60% - Accent2 118" xfId="15398"/>
    <cellStyle name="60% - Accent2 119" xfId="15399"/>
    <cellStyle name="60% - Accent2 12" xfId="15400"/>
    <cellStyle name="60% - Accent2 120" xfId="15401"/>
    <cellStyle name="60% - Accent2 121" xfId="15402"/>
    <cellStyle name="60% - Accent2 122" xfId="15403"/>
    <cellStyle name="60% - Accent2 123" xfId="15404"/>
    <cellStyle name="60% - Accent2 124" xfId="15405"/>
    <cellStyle name="60% - Accent2 125" xfId="15406"/>
    <cellStyle name="60% - Accent2 126" xfId="15407"/>
    <cellStyle name="60% - Accent2 127" xfId="15408"/>
    <cellStyle name="60% - Accent2 128" xfId="15409"/>
    <cellStyle name="60% - Accent2 129" xfId="15410"/>
    <cellStyle name="60% - Accent2 13" xfId="15411"/>
    <cellStyle name="60% - Accent2 130" xfId="15412"/>
    <cellStyle name="60% - Accent2 131" xfId="15413"/>
    <cellStyle name="60% - Accent2 132" xfId="15414"/>
    <cellStyle name="60% - Accent2 133" xfId="15415"/>
    <cellStyle name="60% - Accent2 134" xfId="15416"/>
    <cellStyle name="60% - Accent2 135" xfId="15417"/>
    <cellStyle name="60% - Accent2 136" xfId="15418"/>
    <cellStyle name="60% - Accent2 137" xfId="15419"/>
    <cellStyle name="60% - Accent2 138" xfId="15420"/>
    <cellStyle name="60% - Accent2 139" xfId="15421"/>
    <cellStyle name="60% - Accent2 14" xfId="15422"/>
    <cellStyle name="60% - Accent2 140" xfId="15423"/>
    <cellStyle name="60% - Accent2 141" xfId="15424"/>
    <cellStyle name="60% - Accent2 142" xfId="15425"/>
    <cellStyle name="60% - Accent2 143" xfId="15426"/>
    <cellStyle name="60% - Accent2 144" xfId="15427"/>
    <cellStyle name="60% - Accent2 145" xfId="15428"/>
    <cellStyle name="60% - Accent2 146" xfId="15429"/>
    <cellStyle name="60% - Accent2 147" xfId="15430"/>
    <cellStyle name="60% - Accent2 148" xfId="15431"/>
    <cellStyle name="60% - Accent2 149" xfId="15432"/>
    <cellStyle name="60% - Accent2 15" xfId="15433"/>
    <cellStyle name="60% - Accent2 150" xfId="15434"/>
    <cellStyle name="60% - Accent2 151" xfId="15435"/>
    <cellStyle name="60% - Accent2 152" xfId="15436"/>
    <cellStyle name="60% - Accent2 153" xfId="15437"/>
    <cellStyle name="60% - Accent2 154" xfId="15438"/>
    <cellStyle name="60% - Accent2 155" xfId="15439"/>
    <cellStyle name="60% - Accent2 156" xfId="15440"/>
    <cellStyle name="60% - Accent2 157" xfId="15441"/>
    <cellStyle name="60% - Accent2 158" xfId="15442"/>
    <cellStyle name="60% - Accent2 159" xfId="15443"/>
    <cellStyle name="60% - Accent2 16" xfId="15444"/>
    <cellStyle name="60% - Accent2 160" xfId="15445"/>
    <cellStyle name="60% - Accent2 161" xfId="15446"/>
    <cellStyle name="60% - Accent2 162" xfId="15447"/>
    <cellStyle name="60% - Accent2 163" xfId="15448"/>
    <cellStyle name="60% - Accent2 163 2" xfId="21507"/>
    <cellStyle name="60% - Accent2 163 3" xfId="21508"/>
    <cellStyle name="60% - Accent2 163_Note Calc" xfId="27043"/>
    <cellStyle name="60% - Accent2 164" xfId="15449"/>
    <cellStyle name="60% - Accent2 165" xfId="15450"/>
    <cellStyle name="60% - Accent2 166" xfId="15451"/>
    <cellStyle name="60% - Accent2 167" xfId="15452"/>
    <cellStyle name="60% - Accent2 168" xfId="15453"/>
    <cellStyle name="60% - Accent2 169" xfId="15454"/>
    <cellStyle name="60% - Accent2 17" xfId="15455"/>
    <cellStyle name="60% - Accent2 170" xfId="15456"/>
    <cellStyle name="60% - Accent2 171" xfId="15457"/>
    <cellStyle name="60% - Accent2 172" xfId="15458"/>
    <cellStyle name="60% - Accent2 173" xfId="15459"/>
    <cellStyle name="60% - Accent2 174" xfId="15460"/>
    <cellStyle name="60% - Accent2 175" xfId="15461"/>
    <cellStyle name="60% - Accent2 176" xfId="15462"/>
    <cellStyle name="60% - Accent2 177" xfId="15463"/>
    <cellStyle name="60% - Accent2 178" xfId="15464"/>
    <cellStyle name="60% - Accent2 179" xfId="15465"/>
    <cellStyle name="60% - Accent2 18" xfId="15466"/>
    <cellStyle name="60% - Accent2 180" xfId="15467"/>
    <cellStyle name="60% - Accent2 181" xfId="15468"/>
    <cellStyle name="60% - Accent2 182" xfId="15469"/>
    <cellStyle name="60% - Accent2 183" xfId="15470"/>
    <cellStyle name="60% - Accent2 184" xfId="15471"/>
    <cellStyle name="60% - Accent2 185" xfId="15472"/>
    <cellStyle name="60% - Accent2 186" xfId="15473"/>
    <cellStyle name="60% - Accent2 187" xfId="15474"/>
    <cellStyle name="60% - Accent2 188" xfId="15475"/>
    <cellStyle name="60% - Accent2 189" xfId="15476"/>
    <cellStyle name="60% - Accent2 19" xfId="15477"/>
    <cellStyle name="60% - Accent2 190" xfId="15478"/>
    <cellStyle name="60% - Accent2 191" xfId="15479"/>
    <cellStyle name="60% - Accent2 192" xfId="15480"/>
    <cellStyle name="60% - Accent2 193" xfId="15481"/>
    <cellStyle name="60% - Accent2 194" xfId="15482"/>
    <cellStyle name="60% - Accent2 195" xfId="15483"/>
    <cellStyle name="60% - Accent2 196" xfId="15484"/>
    <cellStyle name="60% - Accent2 197" xfId="15485"/>
    <cellStyle name="60% - Accent2 198" xfId="15486"/>
    <cellStyle name="60% - Accent2 199" xfId="15487"/>
    <cellStyle name="60% - Accent2 2" xfId="376"/>
    <cellStyle name="60% - Accent2 2 10" xfId="12112"/>
    <cellStyle name="60% - Accent2 2 11" xfId="15488"/>
    <cellStyle name="60% - Accent2 2 12" xfId="27045"/>
    <cellStyle name="60% - Accent2 2 2" xfId="7674"/>
    <cellStyle name="60% - Accent2 2 2 2" xfId="21509"/>
    <cellStyle name="60% - Accent2 2 2_Note Calc" xfId="27046"/>
    <cellStyle name="60% - Accent2 2 3" xfId="7676"/>
    <cellStyle name="60% - Accent2 2 3 2" xfId="21510"/>
    <cellStyle name="60% - Accent2 2 3_Note Calc" xfId="27047"/>
    <cellStyle name="60% - Accent2 2 4" xfId="7677"/>
    <cellStyle name="60% - Accent2 2 4 2" xfId="21511"/>
    <cellStyle name="60% - Accent2 2 4_Note Calc" xfId="27048"/>
    <cellStyle name="60% - Accent2 2 5" xfId="7678"/>
    <cellStyle name="60% - Accent2 2 6" xfId="7679"/>
    <cellStyle name="60% - Accent2 2 7" xfId="7680"/>
    <cellStyle name="60% - Accent2 2 8" xfId="8289"/>
    <cellStyle name="60% - Accent2 2 9" xfId="8307"/>
    <cellStyle name="60% - Accent2 2_Note Calc" xfId="27044"/>
    <cellStyle name="60% - Accent2 20" xfId="15489"/>
    <cellStyle name="60% - Accent2 200" xfId="15490"/>
    <cellStyle name="60% - Accent2 201" xfId="21825"/>
    <cellStyle name="60% - Accent2 202" xfId="21729"/>
    <cellStyle name="60% - Accent2 203" xfId="21972"/>
    <cellStyle name="60% - Accent2 204" xfId="21896"/>
    <cellStyle name="60% - Accent2 205" xfId="27049"/>
    <cellStyle name="60% - Accent2 21" xfId="15491"/>
    <cellStyle name="60% - Accent2 22" xfId="15492"/>
    <cellStyle name="60% - Accent2 23" xfId="15493"/>
    <cellStyle name="60% - Accent2 24" xfId="15494"/>
    <cellStyle name="60% - Accent2 25" xfId="15495"/>
    <cellStyle name="60% - Accent2 26" xfId="15496"/>
    <cellStyle name="60% - Accent2 27" xfId="15497"/>
    <cellStyle name="60% - Accent2 28" xfId="15498"/>
    <cellStyle name="60% - Accent2 29" xfId="15499"/>
    <cellStyle name="60% - Accent2 3" xfId="7681"/>
    <cellStyle name="60% - Accent2 3 2" xfId="7682"/>
    <cellStyle name="60% - Accent2 3 3" xfId="7683"/>
    <cellStyle name="60% - Accent2 3 4" xfId="7684"/>
    <cellStyle name="60% - Accent2 3 5" xfId="7685"/>
    <cellStyle name="60% - Accent2 3 6" xfId="7686"/>
    <cellStyle name="60% - Accent2 3 7" xfId="7687"/>
    <cellStyle name="60% - Accent2 3 8" xfId="15500"/>
    <cellStyle name="60% - Accent2 3 9" xfId="27050"/>
    <cellStyle name="60% - Accent2 3_Forecast" xfId="22503"/>
    <cellStyle name="60% - Accent2 30" xfId="15501"/>
    <cellStyle name="60% - Accent2 31" xfId="15502"/>
    <cellStyle name="60% - Accent2 32" xfId="15503"/>
    <cellStyle name="60% - Accent2 33" xfId="15504"/>
    <cellStyle name="60% - Accent2 34" xfId="15505"/>
    <cellStyle name="60% - Accent2 35" xfId="15506"/>
    <cellStyle name="60% - Accent2 36" xfId="15507"/>
    <cellStyle name="60% - Accent2 37" xfId="15508"/>
    <cellStyle name="60% - Accent2 38" xfId="15509"/>
    <cellStyle name="60% - Accent2 39" xfId="15510"/>
    <cellStyle name="60% - Accent2 4" xfId="7688"/>
    <cellStyle name="60% - Accent2 4 2" xfId="15511"/>
    <cellStyle name="60% - Accent2 4_Note Calc" xfId="27051"/>
    <cellStyle name="60% - Accent2 40" xfId="15512"/>
    <cellStyle name="60% - Accent2 41" xfId="15513"/>
    <cellStyle name="60% - Accent2 42" xfId="15514"/>
    <cellStyle name="60% - Accent2 43" xfId="15515"/>
    <cellStyle name="60% - Accent2 44" xfId="15516"/>
    <cellStyle name="60% - Accent2 45" xfId="15517"/>
    <cellStyle name="60% - Accent2 46" xfId="15518"/>
    <cellStyle name="60% - Accent2 47" xfId="15519"/>
    <cellStyle name="60% - Accent2 48" xfId="15520"/>
    <cellStyle name="60% - Accent2 49" xfId="15521"/>
    <cellStyle name="60% - Accent2 5" xfId="7689"/>
    <cellStyle name="60% - Accent2 5 2" xfId="15522"/>
    <cellStyle name="60% - Accent2 5_Note Calc" xfId="27052"/>
    <cellStyle name="60% - Accent2 50" xfId="15523"/>
    <cellStyle name="60% - Accent2 51" xfId="15524"/>
    <cellStyle name="60% - Accent2 52" xfId="15525"/>
    <cellStyle name="60% - Accent2 53" xfId="15526"/>
    <cellStyle name="60% - Accent2 54" xfId="15527"/>
    <cellStyle name="60% - Accent2 55" xfId="15528"/>
    <cellStyle name="60% - Accent2 56" xfId="15529"/>
    <cellStyle name="60% - Accent2 57" xfId="15530"/>
    <cellStyle name="60% - Accent2 58" xfId="15531"/>
    <cellStyle name="60% - Accent2 59" xfId="15532"/>
    <cellStyle name="60% - Accent2 6" xfId="7690"/>
    <cellStyle name="60% - Accent2 6 2" xfId="15533"/>
    <cellStyle name="60% - Accent2 6_Note Calc" xfId="27053"/>
    <cellStyle name="60% - Accent2 60" xfId="15534"/>
    <cellStyle name="60% - Accent2 61" xfId="15535"/>
    <cellStyle name="60% - Accent2 62" xfId="15536"/>
    <cellStyle name="60% - Accent2 63" xfId="15537"/>
    <cellStyle name="60% - Accent2 64" xfId="15538"/>
    <cellStyle name="60% - Accent2 65" xfId="15539"/>
    <cellStyle name="60% - Accent2 66" xfId="15540"/>
    <cellStyle name="60% - Accent2 67" xfId="15541"/>
    <cellStyle name="60% - Accent2 68" xfId="15542"/>
    <cellStyle name="60% - Accent2 69" xfId="15543"/>
    <cellStyle name="60% - Accent2 7" xfId="7691"/>
    <cellStyle name="60% - Accent2 7 2" xfId="15544"/>
    <cellStyle name="60% - Accent2 7_Note Calc" xfId="27054"/>
    <cellStyle name="60% - Accent2 70" xfId="15545"/>
    <cellStyle name="60% - Accent2 71" xfId="15546"/>
    <cellStyle name="60% - Accent2 72" xfId="15547"/>
    <cellStyle name="60% - Accent2 73" xfId="15548"/>
    <cellStyle name="60% - Accent2 74" xfId="15549"/>
    <cellStyle name="60% - Accent2 75" xfId="15550"/>
    <cellStyle name="60% - Accent2 76" xfId="15551"/>
    <cellStyle name="60% - Accent2 77" xfId="15552"/>
    <cellStyle name="60% - Accent2 78" xfId="15553"/>
    <cellStyle name="60% - Accent2 79" xfId="15554"/>
    <cellStyle name="60% - Accent2 8" xfId="7692"/>
    <cellStyle name="60% - Accent2 8 2" xfId="15555"/>
    <cellStyle name="60% - Accent2 8_Note Calc" xfId="27055"/>
    <cellStyle name="60% - Accent2 80" xfId="15556"/>
    <cellStyle name="60% - Accent2 81" xfId="15557"/>
    <cellStyle name="60% - Accent2 82" xfId="15558"/>
    <cellStyle name="60% - Accent2 83" xfId="15559"/>
    <cellStyle name="60% - Accent2 84" xfId="15560"/>
    <cellStyle name="60% - Accent2 85" xfId="15561"/>
    <cellStyle name="60% - Accent2 86" xfId="15562"/>
    <cellStyle name="60% - Accent2 87" xfId="15563"/>
    <cellStyle name="60% - Accent2 88" xfId="15564"/>
    <cellStyle name="60% - Accent2 89" xfId="15565"/>
    <cellStyle name="60% - Accent2 9" xfId="7693"/>
    <cellStyle name="60% - Accent2 9 2" xfId="15566"/>
    <cellStyle name="60% - Accent2 9_Note Calc" xfId="27056"/>
    <cellStyle name="60% - Accent2 90" xfId="15567"/>
    <cellStyle name="60% - Accent2 91" xfId="15568"/>
    <cellStyle name="60% - Accent2 92" xfId="15569"/>
    <cellStyle name="60% - Accent2 93" xfId="15570"/>
    <cellStyle name="60% - Accent2 94" xfId="15571"/>
    <cellStyle name="60% - Accent2 95" xfId="15572"/>
    <cellStyle name="60% - Accent2 96" xfId="15573"/>
    <cellStyle name="60% - Accent2 97" xfId="15574"/>
    <cellStyle name="60% - Accent2 98" xfId="15575"/>
    <cellStyle name="60% - Accent2 99" xfId="15576"/>
    <cellStyle name="60% - Accent3" xfId="377" builtinId="40" customBuiltin="1"/>
    <cellStyle name="60% - Accent3 10" xfId="12245"/>
    <cellStyle name="60% - Accent3 100" xfId="15577"/>
    <cellStyle name="60% - Accent3 101" xfId="15578"/>
    <cellStyle name="60% - Accent3 102" xfId="15579"/>
    <cellStyle name="60% - Accent3 103" xfId="15580"/>
    <cellStyle name="60% - Accent3 104" xfId="15581"/>
    <cellStyle name="60% - Accent3 105" xfId="15582"/>
    <cellStyle name="60% - Accent3 106" xfId="15583"/>
    <cellStyle name="60% - Accent3 107" xfId="15584"/>
    <cellStyle name="60% - Accent3 108" xfId="15585"/>
    <cellStyle name="60% - Accent3 109" xfId="15586"/>
    <cellStyle name="60% - Accent3 11" xfId="15587"/>
    <cellStyle name="60% - Accent3 110" xfId="15588"/>
    <cellStyle name="60% - Accent3 111" xfId="15589"/>
    <cellStyle name="60% - Accent3 112" xfId="15590"/>
    <cellStyle name="60% - Accent3 113" xfId="15591"/>
    <cellStyle name="60% - Accent3 114" xfId="15592"/>
    <cellStyle name="60% - Accent3 115" xfId="15593"/>
    <cellStyle name="60% - Accent3 116" xfId="15594"/>
    <cellStyle name="60% - Accent3 117" xfId="15595"/>
    <cellStyle name="60% - Accent3 118" xfId="15596"/>
    <cellStyle name="60% - Accent3 119" xfId="15597"/>
    <cellStyle name="60% - Accent3 12" xfId="15598"/>
    <cellStyle name="60% - Accent3 120" xfId="15599"/>
    <cellStyle name="60% - Accent3 121" xfId="15600"/>
    <cellStyle name="60% - Accent3 122" xfId="15601"/>
    <cellStyle name="60% - Accent3 123" xfId="15602"/>
    <cellStyle name="60% - Accent3 124" xfId="15603"/>
    <cellStyle name="60% - Accent3 125" xfId="15604"/>
    <cellStyle name="60% - Accent3 126" xfId="15605"/>
    <cellStyle name="60% - Accent3 127" xfId="15606"/>
    <cellStyle name="60% - Accent3 128" xfId="15607"/>
    <cellStyle name="60% - Accent3 129" xfId="15608"/>
    <cellStyle name="60% - Accent3 13" xfId="15609"/>
    <cellStyle name="60% - Accent3 130" xfId="15610"/>
    <cellStyle name="60% - Accent3 131" xfId="15611"/>
    <cellStyle name="60% - Accent3 132" xfId="15612"/>
    <cellStyle name="60% - Accent3 133" xfId="15613"/>
    <cellStyle name="60% - Accent3 134" xfId="15614"/>
    <cellStyle name="60% - Accent3 135" xfId="15615"/>
    <cellStyle name="60% - Accent3 136" xfId="15616"/>
    <cellStyle name="60% - Accent3 137" xfId="15617"/>
    <cellStyle name="60% - Accent3 138" xfId="15618"/>
    <cellStyle name="60% - Accent3 139" xfId="15619"/>
    <cellStyle name="60% - Accent3 14" xfId="15620"/>
    <cellStyle name="60% - Accent3 140" xfId="15621"/>
    <cellStyle name="60% - Accent3 141" xfId="15622"/>
    <cellStyle name="60% - Accent3 142" xfId="15623"/>
    <cellStyle name="60% - Accent3 143" xfId="15624"/>
    <cellStyle name="60% - Accent3 144" xfId="15625"/>
    <cellStyle name="60% - Accent3 145" xfId="15626"/>
    <cellStyle name="60% - Accent3 146" xfId="15627"/>
    <cellStyle name="60% - Accent3 147" xfId="15628"/>
    <cellStyle name="60% - Accent3 148" xfId="15629"/>
    <cellStyle name="60% - Accent3 149" xfId="15630"/>
    <cellStyle name="60% - Accent3 15" xfId="15631"/>
    <cellStyle name="60% - Accent3 150" xfId="15632"/>
    <cellStyle name="60% - Accent3 151" xfId="15633"/>
    <cellStyle name="60% - Accent3 152" xfId="15634"/>
    <cellStyle name="60% - Accent3 153" xfId="15635"/>
    <cellStyle name="60% - Accent3 154" xfId="15636"/>
    <cellStyle name="60% - Accent3 155" xfId="15637"/>
    <cellStyle name="60% - Accent3 156" xfId="15638"/>
    <cellStyle name="60% - Accent3 157" xfId="15639"/>
    <cellStyle name="60% - Accent3 158" xfId="15640"/>
    <cellStyle name="60% - Accent3 159" xfId="15641"/>
    <cellStyle name="60% - Accent3 16" xfId="15642"/>
    <cellStyle name="60% - Accent3 160" xfId="15643"/>
    <cellStyle name="60% - Accent3 161" xfId="15644"/>
    <cellStyle name="60% - Accent3 162" xfId="15645"/>
    <cellStyle name="60% - Accent3 163" xfId="15646"/>
    <cellStyle name="60% - Accent3 163 2" xfId="21512"/>
    <cellStyle name="60% - Accent3 163 3" xfId="21513"/>
    <cellStyle name="60% - Accent3 163_Note Calc" xfId="27057"/>
    <cellStyle name="60% - Accent3 164" xfId="15647"/>
    <cellStyle name="60% - Accent3 165" xfId="15648"/>
    <cellStyle name="60% - Accent3 166" xfId="15649"/>
    <cellStyle name="60% - Accent3 167" xfId="15650"/>
    <cellStyle name="60% - Accent3 168" xfId="15651"/>
    <cellStyle name="60% - Accent3 169" xfId="15652"/>
    <cellStyle name="60% - Accent3 17" xfId="15653"/>
    <cellStyle name="60% - Accent3 170" xfId="15654"/>
    <cellStyle name="60% - Accent3 171" xfId="15655"/>
    <cellStyle name="60% - Accent3 172" xfId="15656"/>
    <cellStyle name="60% - Accent3 173" xfId="15657"/>
    <cellStyle name="60% - Accent3 174" xfId="15658"/>
    <cellStyle name="60% - Accent3 175" xfId="15659"/>
    <cellStyle name="60% - Accent3 176" xfId="15660"/>
    <cellStyle name="60% - Accent3 177" xfId="15661"/>
    <cellStyle name="60% - Accent3 178" xfId="15662"/>
    <cellStyle name="60% - Accent3 179" xfId="15663"/>
    <cellStyle name="60% - Accent3 18" xfId="15664"/>
    <cellStyle name="60% - Accent3 180" xfId="15665"/>
    <cellStyle name="60% - Accent3 181" xfId="15666"/>
    <cellStyle name="60% - Accent3 182" xfId="15667"/>
    <cellStyle name="60% - Accent3 183" xfId="15668"/>
    <cellStyle name="60% - Accent3 184" xfId="15669"/>
    <cellStyle name="60% - Accent3 185" xfId="15670"/>
    <cellStyle name="60% - Accent3 186" xfId="15671"/>
    <cellStyle name="60% - Accent3 187" xfId="15672"/>
    <cellStyle name="60% - Accent3 188" xfId="15673"/>
    <cellStyle name="60% - Accent3 189" xfId="15674"/>
    <cellStyle name="60% - Accent3 19" xfId="15675"/>
    <cellStyle name="60% - Accent3 190" xfId="15676"/>
    <cellStyle name="60% - Accent3 191" xfId="15677"/>
    <cellStyle name="60% - Accent3 192" xfId="15678"/>
    <cellStyle name="60% - Accent3 193" xfId="15679"/>
    <cellStyle name="60% - Accent3 194" xfId="15680"/>
    <cellStyle name="60% - Accent3 195" xfId="15681"/>
    <cellStyle name="60% - Accent3 196" xfId="15682"/>
    <cellStyle name="60% - Accent3 197" xfId="15683"/>
    <cellStyle name="60% - Accent3 198" xfId="15684"/>
    <cellStyle name="60% - Accent3 199" xfId="15685"/>
    <cellStyle name="60% - Accent3 2" xfId="378"/>
    <cellStyle name="60% - Accent3 2 10" xfId="12113"/>
    <cellStyle name="60% - Accent3 2 11" xfId="15686"/>
    <cellStyle name="60% - Accent3 2 12" xfId="27059"/>
    <cellStyle name="60% - Accent3 2 2" xfId="7694"/>
    <cellStyle name="60% - Accent3 2 2 2" xfId="21514"/>
    <cellStyle name="60% - Accent3 2 2_Note Calc" xfId="27060"/>
    <cellStyle name="60% - Accent3 2 3" xfId="7696"/>
    <cellStyle name="60% - Accent3 2 3 2" xfId="21515"/>
    <cellStyle name="60% - Accent3 2 3_Note Calc" xfId="27061"/>
    <cellStyle name="60% - Accent3 2 4" xfId="7697"/>
    <cellStyle name="60% - Accent3 2 4 2" xfId="21516"/>
    <cellStyle name="60% - Accent3 2 4_Note Calc" xfId="27062"/>
    <cellStyle name="60% - Accent3 2 5" xfId="7698"/>
    <cellStyle name="60% - Accent3 2 6" xfId="7699"/>
    <cellStyle name="60% - Accent3 2 7" xfId="7700"/>
    <cellStyle name="60% - Accent3 2 8" xfId="8291"/>
    <cellStyle name="60% - Accent3 2 9" xfId="8305"/>
    <cellStyle name="60% - Accent3 2_Note Calc" xfId="27058"/>
    <cellStyle name="60% - Accent3 20" xfId="15687"/>
    <cellStyle name="60% - Accent3 200" xfId="15688"/>
    <cellStyle name="60% - Accent3 201" xfId="21826"/>
    <cellStyle name="60% - Accent3 202" xfId="21733"/>
    <cellStyle name="60% - Accent3 203" xfId="21976"/>
    <cellStyle name="60% - Accent3 204" xfId="21945"/>
    <cellStyle name="60% - Accent3 205" xfId="27063"/>
    <cellStyle name="60% - Accent3 21" xfId="15689"/>
    <cellStyle name="60% - Accent3 22" xfId="15690"/>
    <cellStyle name="60% - Accent3 23" xfId="15691"/>
    <cellStyle name="60% - Accent3 24" xfId="15692"/>
    <cellStyle name="60% - Accent3 25" xfId="15693"/>
    <cellStyle name="60% - Accent3 26" xfId="15694"/>
    <cellStyle name="60% - Accent3 27" xfId="15695"/>
    <cellStyle name="60% - Accent3 28" xfId="15696"/>
    <cellStyle name="60% - Accent3 29" xfId="15697"/>
    <cellStyle name="60% - Accent3 3" xfId="7701"/>
    <cellStyle name="60% - Accent3 3 2" xfId="7702"/>
    <cellStyle name="60% - Accent3 3 3" xfId="7703"/>
    <cellStyle name="60% - Accent3 3 4" xfId="7704"/>
    <cellStyle name="60% - Accent3 3 5" xfId="7705"/>
    <cellStyle name="60% - Accent3 3 6" xfId="7706"/>
    <cellStyle name="60% - Accent3 3 7" xfId="7707"/>
    <cellStyle name="60% - Accent3 3 8" xfId="15698"/>
    <cellStyle name="60% - Accent3 3 9" xfId="27064"/>
    <cellStyle name="60% - Accent3 3_Forecast" xfId="22504"/>
    <cellStyle name="60% - Accent3 30" xfId="15699"/>
    <cellStyle name="60% - Accent3 31" xfId="15700"/>
    <cellStyle name="60% - Accent3 32" xfId="15701"/>
    <cellStyle name="60% - Accent3 33" xfId="15702"/>
    <cellStyle name="60% - Accent3 34" xfId="15703"/>
    <cellStyle name="60% - Accent3 35" xfId="15704"/>
    <cellStyle name="60% - Accent3 36" xfId="15705"/>
    <cellStyle name="60% - Accent3 37" xfId="15706"/>
    <cellStyle name="60% - Accent3 38" xfId="15707"/>
    <cellStyle name="60% - Accent3 39" xfId="15708"/>
    <cellStyle name="60% - Accent3 4" xfId="7708"/>
    <cellStyle name="60% - Accent3 4 2" xfId="15709"/>
    <cellStyle name="60% - Accent3 4_Note Calc" xfId="27065"/>
    <cellStyle name="60% - Accent3 40" xfId="15710"/>
    <cellStyle name="60% - Accent3 41" xfId="15711"/>
    <cellStyle name="60% - Accent3 42" xfId="15712"/>
    <cellStyle name="60% - Accent3 43" xfId="15713"/>
    <cellStyle name="60% - Accent3 44" xfId="15714"/>
    <cellStyle name="60% - Accent3 45" xfId="15715"/>
    <cellStyle name="60% - Accent3 46" xfId="15716"/>
    <cellStyle name="60% - Accent3 47" xfId="15717"/>
    <cellStyle name="60% - Accent3 48" xfId="15718"/>
    <cellStyle name="60% - Accent3 49" xfId="15719"/>
    <cellStyle name="60% - Accent3 5" xfId="7709"/>
    <cellStyle name="60% - Accent3 5 2" xfId="15720"/>
    <cellStyle name="60% - Accent3 5_Note Calc" xfId="27066"/>
    <cellStyle name="60% - Accent3 50" xfId="15721"/>
    <cellStyle name="60% - Accent3 51" xfId="15722"/>
    <cellStyle name="60% - Accent3 52" xfId="15723"/>
    <cellStyle name="60% - Accent3 53" xfId="15724"/>
    <cellStyle name="60% - Accent3 54" xfId="15725"/>
    <cellStyle name="60% - Accent3 55" xfId="15726"/>
    <cellStyle name="60% - Accent3 56" xfId="15727"/>
    <cellStyle name="60% - Accent3 57" xfId="15728"/>
    <cellStyle name="60% - Accent3 58" xfId="15729"/>
    <cellStyle name="60% - Accent3 59" xfId="15730"/>
    <cellStyle name="60% - Accent3 6" xfId="7710"/>
    <cellStyle name="60% - Accent3 6 2" xfId="15731"/>
    <cellStyle name="60% - Accent3 6_Note Calc" xfId="27067"/>
    <cellStyle name="60% - Accent3 60" xfId="15732"/>
    <cellStyle name="60% - Accent3 61" xfId="15733"/>
    <cellStyle name="60% - Accent3 62" xfId="15734"/>
    <cellStyle name="60% - Accent3 63" xfId="15735"/>
    <cellStyle name="60% - Accent3 64" xfId="15736"/>
    <cellStyle name="60% - Accent3 65" xfId="15737"/>
    <cellStyle name="60% - Accent3 66" xfId="15738"/>
    <cellStyle name="60% - Accent3 67" xfId="15739"/>
    <cellStyle name="60% - Accent3 68" xfId="15740"/>
    <cellStyle name="60% - Accent3 69" xfId="15741"/>
    <cellStyle name="60% - Accent3 7" xfId="7711"/>
    <cellStyle name="60% - Accent3 7 2" xfId="15742"/>
    <cellStyle name="60% - Accent3 7_Note Calc" xfId="27068"/>
    <cellStyle name="60% - Accent3 70" xfId="15743"/>
    <cellStyle name="60% - Accent3 71" xfId="15744"/>
    <cellStyle name="60% - Accent3 72" xfId="15745"/>
    <cellStyle name="60% - Accent3 73" xfId="15746"/>
    <cellStyle name="60% - Accent3 74" xfId="15747"/>
    <cellStyle name="60% - Accent3 75" xfId="15748"/>
    <cellStyle name="60% - Accent3 76" xfId="15749"/>
    <cellStyle name="60% - Accent3 77" xfId="15750"/>
    <cellStyle name="60% - Accent3 78" xfId="15751"/>
    <cellStyle name="60% - Accent3 79" xfId="15752"/>
    <cellStyle name="60% - Accent3 8" xfId="7712"/>
    <cellStyle name="60% - Accent3 8 2" xfId="15753"/>
    <cellStyle name="60% - Accent3 8_Note Calc" xfId="27069"/>
    <cellStyle name="60% - Accent3 80" xfId="15754"/>
    <cellStyle name="60% - Accent3 81" xfId="15755"/>
    <cellStyle name="60% - Accent3 82" xfId="15756"/>
    <cellStyle name="60% - Accent3 83" xfId="15757"/>
    <cellStyle name="60% - Accent3 84" xfId="15758"/>
    <cellStyle name="60% - Accent3 85" xfId="15759"/>
    <cellStyle name="60% - Accent3 86" xfId="15760"/>
    <cellStyle name="60% - Accent3 87" xfId="15761"/>
    <cellStyle name="60% - Accent3 88" xfId="15762"/>
    <cellStyle name="60% - Accent3 89" xfId="15763"/>
    <cellStyle name="60% - Accent3 9" xfId="7713"/>
    <cellStyle name="60% - Accent3 9 2" xfId="15764"/>
    <cellStyle name="60% - Accent3 9_Note Calc" xfId="27070"/>
    <cellStyle name="60% - Accent3 90" xfId="15765"/>
    <cellStyle name="60% - Accent3 91" xfId="15766"/>
    <cellStyle name="60% - Accent3 92" xfId="15767"/>
    <cellStyle name="60% - Accent3 93" xfId="15768"/>
    <cellStyle name="60% - Accent3 94" xfId="15769"/>
    <cellStyle name="60% - Accent3 95" xfId="15770"/>
    <cellStyle name="60% - Accent3 96" xfId="15771"/>
    <cellStyle name="60% - Accent3 97" xfId="15772"/>
    <cellStyle name="60% - Accent3 98" xfId="15773"/>
    <cellStyle name="60% - Accent3 99" xfId="15774"/>
    <cellStyle name="60% - Accent4" xfId="379" builtinId="44" customBuiltin="1"/>
    <cellStyle name="60% - Accent4 10" xfId="12249"/>
    <cellStyle name="60% - Accent4 100" xfId="15775"/>
    <cellStyle name="60% - Accent4 101" xfId="15776"/>
    <cellStyle name="60% - Accent4 102" xfId="15777"/>
    <cellStyle name="60% - Accent4 103" xfId="15778"/>
    <cellStyle name="60% - Accent4 104" xfId="15779"/>
    <cellStyle name="60% - Accent4 105" xfId="15780"/>
    <cellStyle name="60% - Accent4 106" xfId="15781"/>
    <cellStyle name="60% - Accent4 107" xfId="15782"/>
    <cellStyle name="60% - Accent4 108" xfId="15783"/>
    <cellStyle name="60% - Accent4 109" xfId="15784"/>
    <cellStyle name="60% - Accent4 11" xfId="15785"/>
    <cellStyle name="60% - Accent4 110" xfId="15786"/>
    <cellStyle name="60% - Accent4 111" xfId="15787"/>
    <cellStyle name="60% - Accent4 112" xfId="15788"/>
    <cellStyle name="60% - Accent4 113" xfId="15789"/>
    <cellStyle name="60% - Accent4 114" xfId="15790"/>
    <cellStyle name="60% - Accent4 115" xfId="15791"/>
    <cellStyle name="60% - Accent4 116" xfId="15792"/>
    <cellStyle name="60% - Accent4 117" xfId="15793"/>
    <cellStyle name="60% - Accent4 118" xfId="15794"/>
    <cellStyle name="60% - Accent4 119" xfId="15795"/>
    <cellStyle name="60% - Accent4 12" xfId="15796"/>
    <cellStyle name="60% - Accent4 120" xfId="15797"/>
    <cellStyle name="60% - Accent4 121" xfId="15798"/>
    <cellStyle name="60% - Accent4 122" xfId="15799"/>
    <cellStyle name="60% - Accent4 123" xfId="15800"/>
    <cellStyle name="60% - Accent4 124" xfId="15801"/>
    <cellStyle name="60% - Accent4 125" xfId="15802"/>
    <cellStyle name="60% - Accent4 126" xfId="15803"/>
    <cellStyle name="60% - Accent4 127" xfId="15804"/>
    <cellStyle name="60% - Accent4 128" xfId="15805"/>
    <cellStyle name="60% - Accent4 129" xfId="15806"/>
    <cellStyle name="60% - Accent4 13" xfId="15807"/>
    <cellStyle name="60% - Accent4 130" xfId="15808"/>
    <cellStyle name="60% - Accent4 131" xfId="15809"/>
    <cellStyle name="60% - Accent4 132" xfId="15810"/>
    <cellStyle name="60% - Accent4 133" xfId="15811"/>
    <cellStyle name="60% - Accent4 134" xfId="15812"/>
    <cellStyle name="60% - Accent4 135" xfId="15813"/>
    <cellStyle name="60% - Accent4 136" xfId="15814"/>
    <cellStyle name="60% - Accent4 137" xfId="15815"/>
    <cellStyle name="60% - Accent4 138" xfId="15816"/>
    <cellStyle name="60% - Accent4 139" xfId="15817"/>
    <cellStyle name="60% - Accent4 14" xfId="15818"/>
    <cellStyle name="60% - Accent4 140" xfId="15819"/>
    <cellStyle name="60% - Accent4 141" xfId="15820"/>
    <cellStyle name="60% - Accent4 142" xfId="15821"/>
    <cellStyle name="60% - Accent4 143" xfId="15822"/>
    <cellStyle name="60% - Accent4 144" xfId="15823"/>
    <cellStyle name="60% - Accent4 145" xfId="15824"/>
    <cellStyle name="60% - Accent4 146" xfId="15825"/>
    <cellStyle name="60% - Accent4 147" xfId="15826"/>
    <cellStyle name="60% - Accent4 148" xfId="15827"/>
    <cellStyle name="60% - Accent4 149" xfId="15828"/>
    <cellStyle name="60% - Accent4 15" xfId="15829"/>
    <cellStyle name="60% - Accent4 150" xfId="15830"/>
    <cellStyle name="60% - Accent4 151" xfId="15831"/>
    <cellStyle name="60% - Accent4 152" xfId="15832"/>
    <cellStyle name="60% - Accent4 153" xfId="15833"/>
    <cellStyle name="60% - Accent4 154" xfId="15834"/>
    <cellStyle name="60% - Accent4 155" xfId="15835"/>
    <cellStyle name="60% - Accent4 156" xfId="15836"/>
    <cellStyle name="60% - Accent4 157" xfId="15837"/>
    <cellStyle name="60% - Accent4 158" xfId="15838"/>
    <cellStyle name="60% - Accent4 159" xfId="15839"/>
    <cellStyle name="60% - Accent4 16" xfId="15840"/>
    <cellStyle name="60% - Accent4 160" xfId="15841"/>
    <cellStyle name="60% - Accent4 161" xfId="15842"/>
    <cellStyle name="60% - Accent4 162" xfId="15843"/>
    <cellStyle name="60% - Accent4 163" xfId="15844"/>
    <cellStyle name="60% - Accent4 163 2" xfId="21517"/>
    <cellStyle name="60% - Accent4 163 3" xfId="21518"/>
    <cellStyle name="60% - Accent4 163_Note Calc" xfId="27071"/>
    <cellStyle name="60% - Accent4 164" xfId="15845"/>
    <cellStyle name="60% - Accent4 165" xfId="15846"/>
    <cellStyle name="60% - Accent4 166" xfId="15847"/>
    <cellStyle name="60% - Accent4 167" xfId="15848"/>
    <cellStyle name="60% - Accent4 168" xfId="15849"/>
    <cellStyle name="60% - Accent4 169" xfId="15850"/>
    <cellStyle name="60% - Accent4 17" xfId="15851"/>
    <cellStyle name="60% - Accent4 170" xfId="15852"/>
    <cellStyle name="60% - Accent4 171" xfId="15853"/>
    <cellStyle name="60% - Accent4 172" xfId="15854"/>
    <cellStyle name="60% - Accent4 173" xfId="15855"/>
    <cellStyle name="60% - Accent4 174" xfId="15856"/>
    <cellStyle name="60% - Accent4 175" xfId="15857"/>
    <cellStyle name="60% - Accent4 176" xfId="15858"/>
    <cellStyle name="60% - Accent4 177" xfId="15859"/>
    <cellStyle name="60% - Accent4 178" xfId="15860"/>
    <cellStyle name="60% - Accent4 179" xfId="15861"/>
    <cellStyle name="60% - Accent4 18" xfId="15862"/>
    <cellStyle name="60% - Accent4 180" xfId="15863"/>
    <cellStyle name="60% - Accent4 181" xfId="15864"/>
    <cellStyle name="60% - Accent4 182" xfId="15865"/>
    <cellStyle name="60% - Accent4 183" xfId="15866"/>
    <cellStyle name="60% - Accent4 184" xfId="15867"/>
    <cellStyle name="60% - Accent4 185" xfId="15868"/>
    <cellStyle name="60% - Accent4 186" xfId="15869"/>
    <cellStyle name="60% - Accent4 187" xfId="15870"/>
    <cellStyle name="60% - Accent4 188" xfId="15871"/>
    <cellStyle name="60% - Accent4 189" xfId="15872"/>
    <cellStyle name="60% - Accent4 19" xfId="15873"/>
    <cellStyle name="60% - Accent4 190" xfId="15874"/>
    <cellStyle name="60% - Accent4 191" xfId="15875"/>
    <cellStyle name="60% - Accent4 192" xfId="15876"/>
    <cellStyle name="60% - Accent4 193" xfId="15877"/>
    <cellStyle name="60% - Accent4 194" xfId="15878"/>
    <cellStyle name="60% - Accent4 195" xfId="15879"/>
    <cellStyle name="60% - Accent4 196" xfId="15880"/>
    <cellStyle name="60% - Accent4 197" xfId="15881"/>
    <cellStyle name="60% - Accent4 198" xfId="15882"/>
    <cellStyle name="60% - Accent4 199" xfId="15883"/>
    <cellStyle name="60% - Accent4 2" xfId="380"/>
    <cellStyle name="60% - Accent4 2 10" xfId="12114"/>
    <cellStyle name="60% - Accent4 2 11" xfId="15884"/>
    <cellStyle name="60% - Accent4 2 12" xfId="27073"/>
    <cellStyle name="60% - Accent4 2 2" xfId="7714"/>
    <cellStyle name="60% - Accent4 2 2 2" xfId="21519"/>
    <cellStyle name="60% - Accent4 2 2_Note Calc" xfId="27074"/>
    <cellStyle name="60% - Accent4 2 3" xfId="7716"/>
    <cellStyle name="60% - Accent4 2 3 2" xfId="21520"/>
    <cellStyle name="60% - Accent4 2 3_Note Calc" xfId="27075"/>
    <cellStyle name="60% - Accent4 2 4" xfId="7717"/>
    <cellStyle name="60% - Accent4 2 4 2" xfId="21521"/>
    <cellStyle name="60% - Accent4 2 4_Note Calc" xfId="27076"/>
    <cellStyle name="60% - Accent4 2 5" xfId="7718"/>
    <cellStyle name="60% - Accent4 2 6" xfId="7719"/>
    <cellStyle name="60% - Accent4 2 7" xfId="7720"/>
    <cellStyle name="60% - Accent4 2 8" xfId="8293"/>
    <cellStyle name="60% - Accent4 2 9" xfId="8303"/>
    <cellStyle name="60% - Accent4 2_Note Calc" xfId="27072"/>
    <cellStyle name="60% - Accent4 20" xfId="15885"/>
    <cellStyle name="60% - Accent4 200" xfId="15886"/>
    <cellStyle name="60% - Accent4 201" xfId="21827"/>
    <cellStyle name="60% - Accent4 202" xfId="21737"/>
    <cellStyle name="60% - Accent4 203" xfId="21980"/>
    <cellStyle name="60% - Accent4 204" xfId="21890"/>
    <cellStyle name="60% - Accent4 205" xfId="27077"/>
    <cellStyle name="60% - Accent4 21" xfId="15887"/>
    <cellStyle name="60% - Accent4 22" xfId="15888"/>
    <cellStyle name="60% - Accent4 23" xfId="15889"/>
    <cellStyle name="60% - Accent4 24" xfId="15890"/>
    <cellStyle name="60% - Accent4 25" xfId="15891"/>
    <cellStyle name="60% - Accent4 26" xfId="15892"/>
    <cellStyle name="60% - Accent4 27" xfId="15893"/>
    <cellStyle name="60% - Accent4 28" xfId="15894"/>
    <cellStyle name="60% - Accent4 29" xfId="15895"/>
    <cellStyle name="60% - Accent4 3" xfId="7721"/>
    <cellStyle name="60% - Accent4 3 2" xfId="7722"/>
    <cellStyle name="60% - Accent4 3 3" xfId="7723"/>
    <cellStyle name="60% - Accent4 3 4" xfId="7724"/>
    <cellStyle name="60% - Accent4 3 5" xfId="7725"/>
    <cellStyle name="60% - Accent4 3 6" xfId="7726"/>
    <cellStyle name="60% - Accent4 3 7" xfId="7727"/>
    <cellStyle name="60% - Accent4 3 8" xfId="15896"/>
    <cellStyle name="60% - Accent4 3 9" xfId="27078"/>
    <cellStyle name="60% - Accent4 3_Forecast" xfId="22505"/>
    <cellStyle name="60% - Accent4 30" xfId="15897"/>
    <cellStyle name="60% - Accent4 31" xfId="15898"/>
    <cellStyle name="60% - Accent4 32" xfId="15899"/>
    <cellStyle name="60% - Accent4 33" xfId="15900"/>
    <cellStyle name="60% - Accent4 34" xfId="15901"/>
    <cellStyle name="60% - Accent4 35" xfId="15902"/>
    <cellStyle name="60% - Accent4 36" xfId="15903"/>
    <cellStyle name="60% - Accent4 37" xfId="15904"/>
    <cellStyle name="60% - Accent4 38" xfId="15905"/>
    <cellStyle name="60% - Accent4 39" xfId="15906"/>
    <cellStyle name="60% - Accent4 4" xfId="7728"/>
    <cellStyle name="60% - Accent4 4 2" xfId="15907"/>
    <cellStyle name="60% - Accent4 4_Note Calc" xfId="27079"/>
    <cellStyle name="60% - Accent4 40" xfId="15908"/>
    <cellStyle name="60% - Accent4 41" xfId="15909"/>
    <cellStyle name="60% - Accent4 42" xfId="15910"/>
    <cellStyle name="60% - Accent4 43" xfId="15911"/>
    <cellStyle name="60% - Accent4 44" xfId="15912"/>
    <cellStyle name="60% - Accent4 45" xfId="15913"/>
    <cellStyle name="60% - Accent4 46" xfId="15914"/>
    <cellStyle name="60% - Accent4 47" xfId="15915"/>
    <cellStyle name="60% - Accent4 48" xfId="15916"/>
    <cellStyle name="60% - Accent4 49" xfId="15917"/>
    <cellStyle name="60% - Accent4 5" xfId="7729"/>
    <cellStyle name="60% - Accent4 5 2" xfId="15918"/>
    <cellStyle name="60% - Accent4 5_Note Calc" xfId="27080"/>
    <cellStyle name="60% - Accent4 50" xfId="15919"/>
    <cellStyle name="60% - Accent4 51" xfId="15920"/>
    <cellStyle name="60% - Accent4 52" xfId="15921"/>
    <cellStyle name="60% - Accent4 53" xfId="15922"/>
    <cellStyle name="60% - Accent4 54" xfId="15923"/>
    <cellStyle name="60% - Accent4 55" xfId="15924"/>
    <cellStyle name="60% - Accent4 56" xfId="15925"/>
    <cellStyle name="60% - Accent4 57" xfId="15926"/>
    <cellStyle name="60% - Accent4 58" xfId="15927"/>
    <cellStyle name="60% - Accent4 59" xfId="15928"/>
    <cellStyle name="60% - Accent4 6" xfId="7730"/>
    <cellStyle name="60% - Accent4 6 2" xfId="15929"/>
    <cellStyle name="60% - Accent4 6_Note Calc" xfId="27081"/>
    <cellStyle name="60% - Accent4 60" xfId="15930"/>
    <cellStyle name="60% - Accent4 61" xfId="15931"/>
    <cellStyle name="60% - Accent4 62" xfId="15932"/>
    <cellStyle name="60% - Accent4 63" xfId="15933"/>
    <cellStyle name="60% - Accent4 64" xfId="15934"/>
    <cellStyle name="60% - Accent4 65" xfId="15935"/>
    <cellStyle name="60% - Accent4 66" xfId="15936"/>
    <cellStyle name="60% - Accent4 67" xfId="15937"/>
    <cellStyle name="60% - Accent4 68" xfId="15938"/>
    <cellStyle name="60% - Accent4 69" xfId="15939"/>
    <cellStyle name="60% - Accent4 7" xfId="7731"/>
    <cellStyle name="60% - Accent4 7 2" xfId="15940"/>
    <cellStyle name="60% - Accent4 7_Note Calc" xfId="27082"/>
    <cellStyle name="60% - Accent4 70" xfId="15941"/>
    <cellStyle name="60% - Accent4 71" xfId="15942"/>
    <cellStyle name="60% - Accent4 72" xfId="15943"/>
    <cellStyle name="60% - Accent4 73" xfId="15944"/>
    <cellStyle name="60% - Accent4 74" xfId="15945"/>
    <cellStyle name="60% - Accent4 75" xfId="15946"/>
    <cellStyle name="60% - Accent4 76" xfId="15947"/>
    <cellStyle name="60% - Accent4 77" xfId="15948"/>
    <cellStyle name="60% - Accent4 78" xfId="15949"/>
    <cellStyle name="60% - Accent4 79" xfId="15950"/>
    <cellStyle name="60% - Accent4 8" xfId="7732"/>
    <cellStyle name="60% - Accent4 8 2" xfId="15951"/>
    <cellStyle name="60% - Accent4 8_Note Calc" xfId="27083"/>
    <cellStyle name="60% - Accent4 80" xfId="15952"/>
    <cellStyle name="60% - Accent4 81" xfId="15953"/>
    <cellStyle name="60% - Accent4 82" xfId="15954"/>
    <cellStyle name="60% - Accent4 83" xfId="15955"/>
    <cellStyle name="60% - Accent4 84" xfId="15956"/>
    <cellStyle name="60% - Accent4 85" xfId="15957"/>
    <cellStyle name="60% - Accent4 86" xfId="15958"/>
    <cellStyle name="60% - Accent4 87" xfId="15959"/>
    <cellStyle name="60% - Accent4 88" xfId="15960"/>
    <cellStyle name="60% - Accent4 89" xfId="15961"/>
    <cellStyle name="60% - Accent4 9" xfId="7733"/>
    <cellStyle name="60% - Accent4 9 2" xfId="15962"/>
    <cellStyle name="60% - Accent4 9_Note Calc" xfId="27084"/>
    <cellStyle name="60% - Accent4 90" xfId="15963"/>
    <cellStyle name="60% - Accent4 91" xfId="15964"/>
    <cellStyle name="60% - Accent4 92" xfId="15965"/>
    <cellStyle name="60% - Accent4 93" xfId="15966"/>
    <cellStyle name="60% - Accent4 94" xfId="15967"/>
    <cellStyle name="60% - Accent4 95" xfId="15968"/>
    <cellStyle name="60% - Accent4 96" xfId="15969"/>
    <cellStyle name="60% - Accent4 97" xfId="15970"/>
    <cellStyle name="60% - Accent4 98" xfId="15971"/>
    <cellStyle name="60% - Accent4 99" xfId="15972"/>
    <cellStyle name="60% - Accent5" xfId="381" builtinId="48" customBuiltin="1"/>
    <cellStyle name="60% - Accent5 10" xfId="12253"/>
    <cellStyle name="60% - Accent5 100" xfId="15973"/>
    <cellStyle name="60% - Accent5 101" xfId="15974"/>
    <cellStyle name="60% - Accent5 102" xfId="15975"/>
    <cellStyle name="60% - Accent5 103" xfId="15976"/>
    <cellStyle name="60% - Accent5 104" xfId="15977"/>
    <cellStyle name="60% - Accent5 105" xfId="15978"/>
    <cellStyle name="60% - Accent5 106" xfId="15979"/>
    <cellStyle name="60% - Accent5 107" xfId="15980"/>
    <cellStyle name="60% - Accent5 108" xfId="15981"/>
    <cellStyle name="60% - Accent5 109" xfId="15982"/>
    <cellStyle name="60% - Accent5 11" xfId="15983"/>
    <cellStyle name="60% - Accent5 110" xfId="15984"/>
    <cellStyle name="60% - Accent5 111" xfId="15985"/>
    <cellStyle name="60% - Accent5 112" xfId="15986"/>
    <cellStyle name="60% - Accent5 113" xfId="15987"/>
    <cellStyle name="60% - Accent5 114" xfId="15988"/>
    <cellStyle name="60% - Accent5 115" xfId="15989"/>
    <cellStyle name="60% - Accent5 116" xfId="15990"/>
    <cellStyle name="60% - Accent5 117" xfId="15991"/>
    <cellStyle name="60% - Accent5 118" xfId="15992"/>
    <cellStyle name="60% - Accent5 119" xfId="15993"/>
    <cellStyle name="60% - Accent5 12" xfId="15994"/>
    <cellStyle name="60% - Accent5 120" xfId="15995"/>
    <cellStyle name="60% - Accent5 121" xfId="15996"/>
    <cellStyle name="60% - Accent5 122" xfId="15997"/>
    <cellStyle name="60% - Accent5 123" xfId="15998"/>
    <cellStyle name="60% - Accent5 124" xfId="15999"/>
    <cellStyle name="60% - Accent5 125" xfId="16000"/>
    <cellStyle name="60% - Accent5 126" xfId="16001"/>
    <cellStyle name="60% - Accent5 127" xfId="16002"/>
    <cellStyle name="60% - Accent5 128" xfId="16003"/>
    <cellStyle name="60% - Accent5 129" xfId="16004"/>
    <cellStyle name="60% - Accent5 13" xfId="16005"/>
    <cellStyle name="60% - Accent5 130" xfId="16006"/>
    <cellStyle name="60% - Accent5 131" xfId="16007"/>
    <cellStyle name="60% - Accent5 132" xfId="16008"/>
    <cellStyle name="60% - Accent5 133" xfId="16009"/>
    <cellStyle name="60% - Accent5 134" xfId="16010"/>
    <cellStyle name="60% - Accent5 135" xfId="16011"/>
    <cellStyle name="60% - Accent5 136" xfId="16012"/>
    <cellStyle name="60% - Accent5 137" xfId="16013"/>
    <cellStyle name="60% - Accent5 138" xfId="16014"/>
    <cellStyle name="60% - Accent5 139" xfId="16015"/>
    <cellStyle name="60% - Accent5 14" xfId="16016"/>
    <cellStyle name="60% - Accent5 140" xfId="16017"/>
    <cellStyle name="60% - Accent5 141" xfId="16018"/>
    <cellStyle name="60% - Accent5 142" xfId="16019"/>
    <cellStyle name="60% - Accent5 143" xfId="16020"/>
    <cellStyle name="60% - Accent5 144" xfId="16021"/>
    <cellStyle name="60% - Accent5 145" xfId="16022"/>
    <cellStyle name="60% - Accent5 146" xfId="16023"/>
    <cellStyle name="60% - Accent5 147" xfId="16024"/>
    <cellStyle name="60% - Accent5 148" xfId="16025"/>
    <cellStyle name="60% - Accent5 149" xfId="16026"/>
    <cellStyle name="60% - Accent5 15" xfId="16027"/>
    <cellStyle name="60% - Accent5 150" xfId="16028"/>
    <cellStyle name="60% - Accent5 151" xfId="16029"/>
    <cellStyle name="60% - Accent5 152" xfId="16030"/>
    <cellStyle name="60% - Accent5 153" xfId="16031"/>
    <cellStyle name="60% - Accent5 154" xfId="16032"/>
    <cellStyle name="60% - Accent5 155" xfId="16033"/>
    <cellStyle name="60% - Accent5 156" xfId="16034"/>
    <cellStyle name="60% - Accent5 157" xfId="16035"/>
    <cellStyle name="60% - Accent5 158" xfId="16036"/>
    <cellStyle name="60% - Accent5 159" xfId="16037"/>
    <cellStyle name="60% - Accent5 16" xfId="16038"/>
    <cellStyle name="60% - Accent5 160" xfId="16039"/>
    <cellStyle name="60% - Accent5 161" xfId="16040"/>
    <cellStyle name="60% - Accent5 162" xfId="16041"/>
    <cellStyle name="60% - Accent5 163" xfId="16042"/>
    <cellStyle name="60% - Accent5 163 2" xfId="21522"/>
    <cellStyle name="60% - Accent5 163 3" xfId="21523"/>
    <cellStyle name="60% - Accent5 163_Note Calc" xfId="27085"/>
    <cellStyle name="60% - Accent5 164" xfId="16043"/>
    <cellStyle name="60% - Accent5 165" xfId="16044"/>
    <cellStyle name="60% - Accent5 166" xfId="16045"/>
    <cellStyle name="60% - Accent5 167" xfId="16046"/>
    <cellStyle name="60% - Accent5 168" xfId="16047"/>
    <cellStyle name="60% - Accent5 169" xfId="16048"/>
    <cellStyle name="60% - Accent5 17" xfId="16049"/>
    <cellStyle name="60% - Accent5 170" xfId="16050"/>
    <cellStyle name="60% - Accent5 171" xfId="16051"/>
    <cellStyle name="60% - Accent5 172" xfId="16052"/>
    <cellStyle name="60% - Accent5 173" xfId="16053"/>
    <cellStyle name="60% - Accent5 174" xfId="16054"/>
    <cellStyle name="60% - Accent5 175" xfId="16055"/>
    <cellStyle name="60% - Accent5 176" xfId="16056"/>
    <cellStyle name="60% - Accent5 177" xfId="16057"/>
    <cellStyle name="60% - Accent5 178" xfId="16058"/>
    <cellStyle name="60% - Accent5 179" xfId="16059"/>
    <cellStyle name="60% - Accent5 18" xfId="16060"/>
    <cellStyle name="60% - Accent5 180" xfId="16061"/>
    <cellStyle name="60% - Accent5 181" xfId="16062"/>
    <cellStyle name="60% - Accent5 182" xfId="16063"/>
    <cellStyle name="60% - Accent5 183" xfId="16064"/>
    <cellStyle name="60% - Accent5 184" xfId="16065"/>
    <cellStyle name="60% - Accent5 185" xfId="16066"/>
    <cellStyle name="60% - Accent5 186" xfId="16067"/>
    <cellStyle name="60% - Accent5 187" xfId="16068"/>
    <cellStyle name="60% - Accent5 188" xfId="16069"/>
    <cellStyle name="60% - Accent5 189" xfId="16070"/>
    <cellStyle name="60% - Accent5 19" xfId="16071"/>
    <cellStyle name="60% - Accent5 190" xfId="16072"/>
    <cellStyle name="60% - Accent5 191" xfId="16073"/>
    <cellStyle name="60% - Accent5 192" xfId="16074"/>
    <cellStyle name="60% - Accent5 193" xfId="16075"/>
    <cellStyle name="60% - Accent5 194" xfId="16076"/>
    <cellStyle name="60% - Accent5 195" xfId="16077"/>
    <cellStyle name="60% - Accent5 196" xfId="16078"/>
    <cellStyle name="60% - Accent5 197" xfId="16079"/>
    <cellStyle name="60% - Accent5 198" xfId="16080"/>
    <cellStyle name="60% - Accent5 199" xfId="16081"/>
    <cellStyle name="60% - Accent5 2" xfId="382"/>
    <cellStyle name="60% - Accent5 2 10" xfId="12115"/>
    <cellStyle name="60% - Accent5 2 11" xfId="16082"/>
    <cellStyle name="60% - Accent5 2 12" xfId="27087"/>
    <cellStyle name="60% - Accent5 2 2" xfId="7734"/>
    <cellStyle name="60% - Accent5 2 2 2" xfId="21524"/>
    <cellStyle name="60% - Accent5 2 2_Note Calc" xfId="27088"/>
    <cellStyle name="60% - Accent5 2 3" xfId="7736"/>
    <cellStyle name="60% - Accent5 2 3 2" xfId="21525"/>
    <cellStyle name="60% - Accent5 2 3_Note Calc" xfId="27089"/>
    <cellStyle name="60% - Accent5 2 4" xfId="7737"/>
    <cellStyle name="60% - Accent5 2 4 2" xfId="21526"/>
    <cellStyle name="60% - Accent5 2 4_Note Calc" xfId="27090"/>
    <cellStyle name="60% - Accent5 2 5" xfId="7738"/>
    <cellStyle name="60% - Accent5 2 6" xfId="7739"/>
    <cellStyle name="60% - Accent5 2 7" xfId="7740"/>
    <cellStyle name="60% - Accent5 2 8" xfId="8295"/>
    <cellStyle name="60% - Accent5 2 9" xfId="8300"/>
    <cellStyle name="60% - Accent5 2_Note Calc" xfId="27086"/>
    <cellStyle name="60% - Accent5 20" xfId="16083"/>
    <cellStyle name="60% - Accent5 200" xfId="16084"/>
    <cellStyle name="60% - Accent5 201" xfId="21828"/>
    <cellStyle name="60% - Accent5 202" xfId="21741"/>
    <cellStyle name="60% - Accent5 203" xfId="21984"/>
    <cellStyle name="60% - Accent5 204" xfId="21886"/>
    <cellStyle name="60% - Accent5 205" xfId="27091"/>
    <cellStyle name="60% - Accent5 21" xfId="16085"/>
    <cellStyle name="60% - Accent5 22" xfId="16086"/>
    <cellStyle name="60% - Accent5 23" xfId="16087"/>
    <cellStyle name="60% - Accent5 24" xfId="16088"/>
    <cellStyle name="60% - Accent5 25" xfId="16089"/>
    <cellStyle name="60% - Accent5 26" xfId="16090"/>
    <cellStyle name="60% - Accent5 27" xfId="16091"/>
    <cellStyle name="60% - Accent5 28" xfId="16092"/>
    <cellStyle name="60% - Accent5 29" xfId="16093"/>
    <cellStyle name="60% - Accent5 3" xfId="7741"/>
    <cellStyle name="60% - Accent5 3 2" xfId="7742"/>
    <cellStyle name="60% - Accent5 3 3" xfId="7743"/>
    <cellStyle name="60% - Accent5 3 4" xfId="7744"/>
    <cellStyle name="60% - Accent5 3 5" xfId="7745"/>
    <cellStyle name="60% - Accent5 3 6" xfId="7746"/>
    <cellStyle name="60% - Accent5 3 7" xfId="7747"/>
    <cellStyle name="60% - Accent5 3 8" xfId="16094"/>
    <cellStyle name="60% - Accent5 3 9" xfId="27092"/>
    <cellStyle name="60% - Accent5 3_Forecast" xfId="22506"/>
    <cellStyle name="60% - Accent5 30" xfId="16095"/>
    <cellStyle name="60% - Accent5 31" xfId="16096"/>
    <cellStyle name="60% - Accent5 32" xfId="16097"/>
    <cellStyle name="60% - Accent5 33" xfId="16098"/>
    <cellStyle name="60% - Accent5 34" xfId="16099"/>
    <cellStyle name="60% - Accent5 35" xfId="16100"/>
    <cellStyle name="60% - Accent5 36" xfId="16101"/>
    <cellStyle name="60% - Accent5 37" xfId="16102"/>
    <cellStyle name="60% - Accent5 38" xfId="16103"/>
    <cellStyle name="60% - Accent5 39" xfId="16104"/>
    <cellStyle name="60% - Accent5 4" xfId="7748"/>
    <cellStyle name="60% - Accent5 4 2" xfId="16105"/>
    <cellStyle name="60% - Accent5 4_Note Calc" xfId="27093"/>
    <cellStyle name="60% - Accent5 40" xfId="16106"/>
    <cellStyle name="60% - Accent5 41" xfId="16107"/>
    <cellStyle name="60% - Accent5 42" xfId="16108"/>
    <cellStyle name="60% - Accent5 43" xfId="16109"/>
    <cellStyle name="60% - Accent5 44" xfId="16110"/>
    <cellStyle name="60% - Accent5 45" xfId="16111"/>
    <cellStyle name="60% - Accent5 46" xfId="16112"/>
    <cellStyle name="60% - Accent5 47" xfId="16113"/>
    <cellStyle name="60% - Accent5 48" xfId="16114"/>
    <cellStyle name="60% - Accent5 49" xfId="16115"/>
    <cellStyle name="60% - Accent5 5" xfId="7749"/>
    <cellStyle name="60% - Accent5 5 2" xfId="16116"/>
    <cellStyle name="60% - Accent5 5_Note Calc" xfId="27094"/>
    <cellStyle name="60% - Accent5 50" xfId="16117"/>
    <cellStyle name="60% - Accent5 51" xfId="16118"/>
    <cellStyle name="60% - Accent5 52" xfId="16119"/>
    <cellStyle name="60% - Accent5 53" xfId="16120"/>
    <cellStyle name="60% - Accent5 54" xfId="16121"/>
    <cellStyle name="60% - Accent5 55" xfId="16122"/>
    <cellStyle name="60% - Accent5 56" xfId="16123"/>
    <cellStyle name="60% - Accent5 57" xfId="16124"/>
    <cellStyle name="60% - Accent5 58" xfId="16125"/>
    <cellStyle name="60% - Accent5 59" xfId="16126"/>
    <cellStyle name="60% - Accent5 6" xfId="7750"/>
    <cellStyle name="60% - Accent5 6 2" xfId="16127"/>
    <cellStyle name="60% - Accent5 6_Note Calc" xfId="27095"/>
    <cellStyle name="60% - Accent5 60" xfId="16128"/>
    <cellStyle name="60% - Accent5 61" xfId="16129"/>
    <cellStyle name="60% - Accent5 62" xfId="16130"/>
    <cellStyle name="60% - Accent5 63" xfId="16131"/>
    <cellStyle name="60% - Accent5 64" xfId="16132"/>
    <cellStyle name="60% - Accent5 65" xfId="16133"/>
    <cellStyle name="60% - Accent5 66" xfId="16134"/>
    <cellStyle name="60% - Accent5 67" xfId="16135"/>
    <cellStyle name="60% - Accent5 68" xfId="16136"/>
    <cellStyle name="60% - Accent5 69" xfId="16137"/>
    <cellStyle name="60% - Accent5 7" xfId="7751"/>
    <cellStyle name="60% - Accent5 7 2" xfId="16138"/>
    <cellStyle name="60% - Accent5 7_Note Calc" xfId="27096"/>
    <cellStyle name="60% - Accent5 70" xfId="16139"/>
    <cellStyle name="60% - Accent5 71" xfId="16140"/>
    <cellStyle name="60% - Accent5 72" xfId="16141"/>
    <cellStyle name="60% - Accent5 73" xfId="16142"/>
    <cellStyle name="60% - Accent5 74" xfId="16143"/>
    <cellStyle name="60% - Accent5 75" xfId="16144"/>
    <cellStyle name="60% - Accent5 76" xfId="16145"/>
    <cellStyle name="60% - Accent5 77" xfId="16146"/>
    <cellStyle name="60% - Accent5 78" xfId="16147"/>
    <cellStyle name="60% - Accent5 79" xfId="16148"/>
    <cellStyle name="60% - Accent5 8" xfId="7752"/>
    <cellStyle name="60% - Accent5 8 2" xfId="16149"/>
    <cellStyle name="60% - Accent5 8_Note Calc" xfId="27097"/>
    <cellStyle name="60% - Accent5 80" xfId="16150"/>
    <cellStyle name="60% - Accent5 81" xfId="16151"/>
    <cellStyle name="60% - Accent5 82" xfId="16152"/>
    <cellStyle name="60% - Accent5 83" xfId="16153"/>
    <cellStyle name="60% - Accent5 84" xfId="16154"/>
    <cellStyle name="60% - Accent5 85" xfId="16155"/>
    <cellStyle name="60% - Accent5 86" xfId="16156"/>
    <cellStyle name="60% - Accent5 87" xfId="16157"/>
    <cellStyle name="60% - Accent5 88" xfId="16158"/>
    <cellStyle name="60% - Accent5 89" xfId="16159"/>
    <cellStyle name="60% - Accent5 9" xfId="7753"/>
    <cellStyle name="60% - Accent5 9 2" xfId="16160"/>
    <cellStyle name="60% - Accent5 9_Note Calc" xfId="27098"/>
    <cellStyle name="60% - Accent5 90" xfId="16161"/>
    <cellStyle name="60% - Accent5 91" xfId="16162"/>
    <cellStyle name="60% - Accent5 92" xfId="16163"/>
    <cellStyle name="60% - Accent5 93" xfId="16164"/>
    <cellStyle name="60% - Accent5 94" xfId="16165"/>
    <cellStyle name="60% - Accent5 95" xfId="16166"/>
    <cellStyle name="60% - Accent5 96" xfId="16167"/>
    <cellStyle name="60% - Accent5 97" xfId="16168"/>
    <cellStyle name="60% - Accent5 98" xfId="16169"/>
    <cellStyle name="60% - Accent5 99" xfId="16170"/>
    <cellStyle name="60% - Accent6" xfId="383" builtinId="52" customBuiltin="1"/>
    <cellStyle name="60% - Accent6 10" xfId="12257"/>
    <cellStyle name="60% - Accent6 100" xfId="16171"/>
    <cellStyle name="60% - Accent6 101" xfId="16172"/>
    <cellStyle name="60% - Accent6 102" xfId="16173"/>
    <cellStyle name="60% - Accent6 103" xfId="16174"/>
    <cellStyle name="60% - Accent6 104" xfId="16175"/>
    <cellStyle name="60% - Accent6 105" xfId="16176"/>
    <cellStyle name="60% - Accent6 106" xfId="16177"/>
    <cellStyle name="60% - Accent6 107" xfId="16178"/>
    <cellStyle name="60% - Accent6 108" xfId="16179"/>
    <cellStyle name="60% - Accent6 109" xfId="16180"/>
    <cellStyle name="60% - Accent6 11" xfId="16181"/>
    <cellStyle name="60% - Accent6 110" xfId="16182"/>
    <cellStyle name="60% - Accent6 111" xfId="16183"/>
    <cellStyle name="60% - Accent6 112" xfId="16184"/>
    <cellStyle name="60% - Accent6 113" xfId="16185"/>
    <cellStyle name="60% - Accent6 114" xfId="16186"/>
    <cellStyle name="60% - Accent6 115" xfId="16187"/>
    <cellStyle name="60% - Accent6 116" xfId="16188"/>
    <cellStyle name="60% - Accent6 117" xfId="16189"/>
    <cellStyle name="60% - Accent6 118" xfId="16190"/>
    <cellStyle name="60% - Accent6 119" xfId="16191"/>
    <cellStyle name="60% - Accent6 12" xfId="16192"/>
    <cellStyle name="60% - Accent6 120" xfId="16193"/>
    <cellStyle name="60% - Accent6 121" xfId="16194"/>
    <cellStyle name="60% - Accent6 122" xfId="16195"/>
    <cellStyle name="60% - Accent6 123" xfId="16196"/>
    <cellStyle name="60% - Accent6 124" xfId="16197"/>
    <cellStyle name="60% - Accent6 125" xfId="16198"/>
    <cellStyle name="60% - Accent6 126" xfId="16199"/>
    <cellStyle name="60% - Accent6 127" xfId="16200"/>
    <cellStyle name="60% - Accent6 128" xfId="16201"/>
    <cellStyle name="60% - Accent6 129" xfId="16202"/>
    <cellStyle name="60% - Accent6 13" xfId="16203"/>
    <cellStyle name="60% - Accent6 130" xfId="16204"/>
    <cellStyle name="60% - Accent6 131" xfId="16205"/>
    <cellStyle name="60% - Accent6 132" xfId="16206"/>
    <cellStyle name="60% - Accent6 133" xfId="16207"/>
    <cellStyle name="60% - Accent6 134" xfId="16208"/>
    <cellStyle name="60% - Accent6 135" xfId="16209"/>
    <cellStyle name="60% - Accent6 136" xfId="16210"/>
    <cellStyle name="60% - Accent6 137" xfId="16211"/>
    <cellStyle name="60% - Accent6 138" xfId="16212"/>
    <cellStyle name="60% - Accent6 139" xfId="16213"/>
    <cellStyle name="60% - Accent6 14" xfId="16214"/>
    <cellStyle name="60% - Accent6 140" xfId="16215"/>
    <cellStyle name="60% - Accent6 141" xfId="16216"/>
    <cellStyle name="60% - Accent6 142" xfId="16217"/>
    <cellStyle name="60% - Accent6 143" xfId="16218"/>
    <cellStyle name="60% - Accent6 144" xfId="16219"/>
    <cellStyle name="60% - Accent6 145" xfId="16220"/>
    <cellStyle name="60% - Accent6 146" xfId="16221"/>
    <cellStyle name="60% - Accent6 147" xfId="16222"/>
    <cellStyle name="60% - Accent6 148" xfId="16223"/>
    <cellStyle name="60% - Accent6 149" xfId="16224"/>
    <cellStyle name="60% - Accent6 15" xfId="16225"/>
    <cellStyle name="60% - Accent6 150" xfId="16226"/>
    <cellStyle name="60% - Accent6 151" xfId="16227"/>
    <cellStyle name="60% - Accent6 152" xfId="16228"/>
    <cellStyle name="60% - Accent6 153" xfId="16229"/>
    <cellStyle name="60% - Accent6 154" xfId="16230"/>
    <cellStyle name="60% - Accent6 155" xfId="16231"/>
    <cellStyle name="60% - Accent6 156" xfId="16232"/>
    <cellStyle name="60% - Accent6 157" xfId="16233"/>
    <cellStyle name="60% - Accent6 158" xfId="16234"/>
    <cellStyle name="60% - Accent6 159" xfId="16235"/>
    <cellStyle name="60% - Accent6 16" xfId="16236"/>
    <cellStyle name="60% - Accent6 160" xfId="16237"/>
    <cellStyle name="60% - Accent6 161" xfId="16238"/>
    <cellStyle name="60% - Accent6 162" xfId="16239"/>
    <cellStyle name="60% - Accent6 163" xfId="16240"/>
    <cellStyle name="60% - Accent6 163 2" xfId="21527"/>
    <cellStyle name="60% - Accent6 163 3" xfId="21528"/>
    <cellStyle name="60% - Accent6 163_Note Calc" xfId="27099"/>
    <cellStyle name="60% - Accent6 164" xfId="16241"/>
    <cellStyle name="60% - Accent6 165" xfId="16242"/>
    <cellStyle name="60% - Accent6 166" xfId="16243"/>
    <cellStyle name="60% - Accent6 167" xfId="16244"/>
    <cellStyle name="60% - Accent6 168" xfId="16245"/>
    <cellStyle name="60% - Accent6 169" xfId="16246"/>
    <cellStyle name="60% - Accent6 17" xfId="16247"/>
    <cellStyle name="60% - Accent6 170" xfId="16248"/>
    <cellStyle name="60% - Accent6 171" xfId="16249"/>
    <cellStyle name="60% - Accent6 172" xfId="16250"/>
    <cellStyle name="60% - Accent6 173" xfId="16251"/>
    <cellStyle name="60% - Accent6 174" xfId="16252"/>
    <cellStyle name="60% - Accent6 175" xfId="16253"/>
    <cellStyle name="60% - Accent6 176" xfId="16254"/>
    <cellStyle name="60% - Accent6 177" xfId="16255"/>
    <cellStyle name="60% - Accent6 178" xfId="16256"/>
    <cellStyle name="60% - Accent6 179" xfId="16257"/>
    <cellStyle name="60% - Accent6 18" xfId="16258"/>
    <cellStyle name="60% - Accent6 180" xfId="16259"/>
    <cellStyle name="60% - Accent6 181" xfId="16260"/>
    <cellStyle name="60% - Accent6 182" xfId="16261"/>
    <cellStyle name="60% - Accent6 183" xfId="16262"/>
    <cellStyle name="60% - Accent6 184" xfId="16263"/>
    <cellStyle name="60% - Accent6 185" xfId="16264"/>
    <cellStyle name="60% - Accent6 186" xfId="16265"/>
    <cellStyle name="60% - Accent6 187" xfId="16266"/>
    <cellStyle name="60% - Accent6 188" xfId="16267"/>
    <cellStyle name="60% - Accent6 189" xfId="16268"/>
    <cellStyle name="60% - Accent6 19" xfId="16269"/>
    <cellStyle name="60% - Accent6 190" xfId="16270"/>
    <cellStyle name="60% - Accent6 191" xfId="16271"/>
    <cellStyle name="60% - Accent6 192" xfId="16272"/>
    <cellStyle name="60% - Accent6 193" xfId="16273"/>
    <cellStyle name="60% - Accent6 194" xfId="16274"/>
    <cellStyle name="60% - Accent6 195" xfId="16275"/>
    <cellStyle name="60% - Accent6 196" xfId="16276"/>
    <cellStyle name="60% - Accent6 197" xfId="16277"/>
    <cellStyle name="60% - Accent6 198" xfId="16278"/>
    <cellStyle name="60% - Accent6 199" xfId="16279"/>
    <cellStyle name="60% - Accent6 2" xfId="384"/>
    <cellStyle name="60% - Accent6 2 10" xfId="12116"/>
    <cellStyle name="60% - Accent6 2 11" xfId="16280"/>
    <cellStyle name="60% - Accent6 2 12" xfId="27101"/>
    <cellStyle name="60% - Accent6 2 2" xfId="7754"/>
    <cellStyle name="60% - Accent6 2 2 2" xfId="21529"/>
    <cellStyle name="60% - Accent6 2 2_Note Calc" xfId="27102"/>
    <cellStyle name="60% - Accent6 2 3" xfId="7756"/>
    <cellStyle name="60% - Accent6 2 3 2" xfId="21530"/>
    <cellStyle name="60% - Accent6 2 3_Note Calc" xfId="27103"/>
    <cellStyle name="60% - Accent6 2 4" xfId="7757"/>
    <cellStyle name="60% - Accent6 2 4 2" xfId="21531"/>
    <cellStyle name="60% - Accent6 2 4_Note Calc" xfId="27104"/>
    <cellStyle name="60% - Accent6 2 5" xfId="7758"/>
    <cellStyle name="60% - Accent6 2 6" xfId="7759"/>
    <cellStyle name="60% - Accent6 2 7" xfId="7760"/>
    <cellStyle name="60% - Accent6 2 8" xfId="8297"/>
    <cellStyle name="60% - Accent6 2 9" xfId="8298"/>
    <cellStyle name="60% - Accent6 2_Note Calc" xfId="27100"/>
    <cellStyle name="60% - Accent6 20" xfId="16281"/>
    <cellStyle name="60% - Accent6 200" xfId="16282"/>
    <cellStyle name="60% - Accent6 201" xfId="21829"/>
    <cellStyle name="60% - Accent6 202" xfId="21745"/>
    <cellStyle name="60% - Accent6 203" xfId="21988"/>
    <cellStyle name="60% - Accent6 204" xfId="21882"/>
    <cellStyle name="60% - Accent6 205" xfId="27105"/>
    <cellStyle name="60% - Accent6 21" xfId="16283"/>
    <cellStyle name="60% - Accent6 22" xfId="16284"/>
    <cellStyle name="60% - Accent6 23" xfId="16285"/>
    <cellStyle name="60% - Accent6 24" xfId="16286"/>
    <cellStyle name="60% - Accent6 25" xfId="16287"/>
    <cellStyle name="60% - Accent6 26" xfId="16288"/>
    <cellStyle name="60% - Accent6 27" xfId="16289"/>
    <cellStyle name="60% - Accent6 28" xfId="16290"/>
    <cellStyle name="60% - Accent6 29" xfId="16291"/>
    <cellStyle name="60% - Accent6 3" xfId="7761"/>
    <cellStyle name="60% - Accent6 3 2" xfId="7762"/>
    <cellStyle name="60% - Accent6 3 3" xfId="7763"/>
    <cellStyle name="60% - Accent6 3 4" xfId="7764"/>
    <cellStyle name="60% - Accent6 3 5" xfId="7765"/>
    <cellStyle name="60% - Accent6 3 6" xfId="7766"/>
    <cellStyle name="60% - Accent6 3 7" xfId="7767"/>
    <cellStyle name="60% - Accent6 3 8" xfId="16292"/>
    <cellStyle name="60% - Accent6 3 9" xfId="27106"/>
    <cellStyle name="60% - Accent6 3_Forecast" xfId="22507"/>
    <cellStyle name="60% - Accent6 30" xfId="16293"/>
    <cellStyle name="60% - Accent6 31" xfId="16294"/>
    <cellStyle name="60% - Accent6 32" xfId="16295"/>
    <cellStyle name="60% - Accent6 33" xfId="16296"/>
    <cellStyle name="60% - Accent6 34" xfId="16297"/>
    <cellStyle name="60% - Accent6 35" xfId="16298"/>
    <cellStyle name="60% - Accent6 36" xfId="16299"/>
    <cellStyle name="60% - Accent6 37" xfId="16300"/>
    <cellStyle name="60% - Accent6 38" xfId="16301"/>
    <cellStyle name="60% - Accent6 39" xfId="16302"/>
    <cellStyle name="60% - Accent6 4" xfId="7768"/>
    <cellStyle name="60% - Accent6 4 2" xfId="16303"/>
    <cellStyle name="60% - Accent6 4_Note Calc" xfId="27107"/>
    <cellStyle name="60% - Accent6 40" xfId="16304"/>
    <cellStyle name="60% - Accent6 41" xfId="16305"/>
    <cellStyle name="60% - Accent6 42" xfId="16306"/>
    <cellStyle name="60% - Accent6 43" xfId="16307"/>
    <cellStyle name="60% - Accent6 44" xfId="16308"/>
    <cellStyle name="60% - Accent6 45" xfId="16309"/>
    <cellStyle name="60% - Accent6 46" xfId="16310"/>
    <cellStyle name="60% - Accent6 47" xfId="16311"/>
    <cellStyle name="60% - Accent6 48" xfId="16312"/>
    <cellStyle name="60% - Accent6 49" xfId="16313"/>
    <cellStyle name="60% - Accent6 5" xfId="7769"/>
    <cellStyle name="60% - Accent6 5 2" xfId="16314"/>
    <cellStyle name="60% - Accent6 5_Note Calc" xfId="27108"/>
    <cellStyle name="60% - Accent6 50" xfId="16315"/>
    <cellStyle name="60% - Accent6 51" xfId="16316"/>
    <cellStyle name="60% - Accent6 52" xfId="16317"/>
    <cellStyle name="60% - Accent6 53" xfId="16318"/>
    <cellStyle name="60% - Accent6 54" xfId="16319"/>
    <cellStyle name="60% - Accent6 55" xfId="16320"/>
    <cellStyle name="60% - Accent6 56" xfId="16321"/>
    <cellStyle name="60% - Accent6 57" xfId="16322"/>
    <cellStyle name="60% - Accent6 58" xfId="16323"/>
    <cellStyle name="60% - Accent6 59" xfId="16324"/>
    <cellStyle name="60% - Accent6 6" xfId="7770"/>
    <cellStyle name="60% - Accent6 6 2" xfId="16325"/>
    <cellStyle name="60% - Accent6 6_Note Calc" xfId="27109"/>
    <cellStyle name="60% - Accent6 60" xfId="16326"/>
    <cellStyle name="60% - Accent6 61" xfId="16327"/>
    <cellStyle name="60% - Accent6 62" xfId="16328"/>
    <cellStyle name="60% - Accent6 63" xfId="16329"/>
    <cellStyle name="60% - Accent6 64" xfId="16330"/>
    <cellStyle name="60% - Accent6 65" xfId="16331"/>
    <cellStyle name="60% - Accent6 66" xfId="16332"/>
    <cellStyle name="60% - Accent6 67" xfId="16333"/>
    <cellStyle name="60% - Accent6 68" xfId="16334"/>
    <cellStyle name="60% - Accent6 69" xfId="16335"/>
    <cellStyle name="60% - Accent6 7" xfId="7771"/>
    <cellStyle name="60% - Accent6 7 2" xfId="16336"/>
    <cellStyle name="60% - Accent6 7_Note Calc" xfId="27110"/>
    <cellStyle name="60% - Accent6 70" xfId="16337"/>
    <cellStyle name="60% - Accent6 71" xfId="16338"/>
    <cellStyle name="60% - Accent6 72" xfId="16339"/>
    <cellStyle name="60% - Accent6 73" xfId="16340"/>
    <cellStyle name="60% - Accent6 74" xfId="16341"/>
    <cellStyle name="60% - Accent6 75" xfId="16342"/>
    <cellStyle name="60% - Accent6 76" xfId="16343"/>
    <cellStyle name="60% - Accent6 77" xfId="16344"/>
    <cellStyle name="60% - Accent6 78" xfId="16345"/>
    <cellStyle name="60% - Accent6 79" xfId="16346"/>
    <cellStyle name="60% - Accent6 8" xfId="7772"/>
    <cellStyle name="60% - Accent6 8 2" xfId="16347"/>
    <cellStyle name="60% - Accent6 8_Note Calc" xfId="27111"/>
    <cellStyle name="60% - Accent6 80" xfId="16348"/>
    <cellStyle name="60% - Accent6 81" xfId="16349"/>
    <cellStyle name="60% - Accent6 82" xfId="16350"/>
    <cellStyle name="60% - Accent6 83" xfId="16351"/>
    <cellStyle name="60% - Accent6 84" xfId="16352"/>
    <cellStyle name="60% - Accent6 85" xfId="16353"/>
    <cellStyle name="60% - Accent6 86" xfId="16354"/>
    <cellStyle name="60% - Accent6 87" xfId="16355"/>
    <cellStyle name="60% - Accent6 88" xfId="16356"/>
    <cellStyle name="60% - Accent6 89" xfId="16357"/>
    <cellStyle name="60% - Accent6 9" xfId="7773"/>
    <cellStyle name="60% - Accent6 9 2" xfId="16358"/>
    <cellStyle name="60% - Accent6 9_Note Calc" xfId="27112"/>
    <cellStyle name="60% - Accent6 90" xfId="16359"/>
    <cellStyle name="60% - Accent6 91" xfId="16360"/>
    <cellStyle name="60% - Accent6 92" xfId="16361"/>
    <cellStyle name="60% - Accent6 93" xfId="16362"/>
    <cellStyle name="60% - Accent6 94" xfId="16363"/>
    <cellStyle name="60% - Accent6 95" xfId="16364"/>
    <cellStyle name="60% - Accent6 96" xfId="16365"/>
    <cellStyle name="60% - Accent6 97" xfId="16366"/>
    <cellStyle name="60% - Accent6 98" xfId="16367"/>
    <cellStyle name="60% - Accent6 99" xfId="16368"/>
    <cellStyle name="Accent1" xfId="385" builtinId="29" customBuiltin="1"/>
    <cellStyle name="Accent1 10" xfId="12234"/>
    <cellStyle name="Accent1 100" xfId="16369"/>
    <cellStyle name="Accent1 101" xfId="16370"/>
    <cellStyle name="Accent1 102" xfId="16371"/>
    <cellStyle name="Accent1 103" xfId="16372"/>
    <cellStyle name="Accent1 104" xfId="16373"/>
    <cellStyle name="Accent1 105" xfId="16374"/>
    <cellStyle name="Accent1 106" xfId="16375"/>
    <cellStyle name="Accent1 107" xfId="16376"/>
    <cellStyle name="Accent1 108" xfId="16377"/>
    <cellStyle name="Accent1 109" xfId="16378"/>
    <cellStyle name="Accent1 11" xfId="16379"/>
    <cellStyle name="Accent1 110" xfId="16380"/>
    <cellStyle name="Accent1 111" xfId="16381"/>
    <cellStyle name="Accent1 112" xfId="16382"/>
    <cellStyle name="Accent1 113" xfId="16383"/>
    <cellStyle name="Accent1 114" xfId="16384"/>
    <cellStyle name="Accent1 115" xfId="16385"/>
    <cellStyle name="Accent1 116" xfId="16386"/>
    <cellStyle name="Accent1 117" xfId="16387"/>
    <cellStyle name="Accent1 118" xfId="16388"/>
    <cellStyle name="Accent1 119" xfId="16389"/>
    <cellStyle name="Accent1 12" xfId="16390"/>
    <cellStyle name="Accent1 120" xfId="16391"/>
    <cellStyle name="Accent1 121" xfId="16392"/>
    <cellStyle name="Accent1 122" xfId="16393"/>
    <cellStyle name="Accent1 123" xfId="16394"/>
    <cellStyle name="Accent1 124" xfId="16395"/>
    <cellStyle name="Accent1 125" xfId="16396"/>
    <cellStyle name="Accent1 126" xfId="16397"/>
    <cellStyle name="Accent1 127" xfId="16398"/>
    <cellStyle name="Accent1 128" xfId="16399"/>
    <cellStyle name="Accent1 129" xfId="16400"/>
    <cellStyle name="Accent1 13" xfId="16401"/>
    <cellStyle name="Accent1 130" xfId="16402"/>
    <cellStyle name="Accent1 131" xfId="16403"/>
    <cellStyle name="Accent1 132" xfId="16404"/>
    <cellStyle name="Accent1 133" xfId="16405"/>
    <cellStyle name="Accent1 134" xfId="16406"/>
    <cellStyle name="Accent1 135" xfId="16407"/>
    <cellStyle name="Accent1 136" xfId="16408"/>
    <cellStyle name="Accent1 137" xfId="16409"/>
    <cellStyle name="Accent1 138" xfId="16410"/>
    <cellStyle name="Accent1 139" xfId="16411"/>
    <cellStyle name="Accent1 14" xfId="16412"/>
    <cellStyle name="Accent1 140" xfId="16413"/>
    <cellStyle name="Accent1 141" xfId="16414"/>
    <cellStyle name="Accent1 142" xfId="16415"/>
    <cellStyle name="Accent1 143" xfId="16416"/>
    <cellStyle name="Accent1 144" xfId="16417"/>
    <cellStyle name="Accent1 145" xfId="16418"/>
    <cellStyle name="Accent1 146" xfId="16419"/>
    <cellStyle name="Accent1 147" xfId="16420"/>
    <cellStyle name="Accent1 148" xfId="16421"/>
    <cellStyle name="Accent1 149" xfId="16422"/>
    <cellStyle name="Accent1 15" xfId="16423"/>
    <cellStyle name="Accent1 150" xfId="16424"/>
    <cellStyle name="Accent1 151" xfId="16425"/>
    <cellStyle name="Accent1 152" xfId="16426"/>
    <cellStyle name="Accent1 153" xfId="16427"/>
    <cellStyle name="Accent1 154" xfId="16428"/>
    <cellStyle name="Accent1 155" xfId="16429"/>
    <cellStyle name="Accent1 156" xfId="16430"/>
    <cellStyle name="Accent1 157" xfId="16431"/>
    <cellStyle name="Accent1 158" xfId="16432"/>
    <cellStyle name="Accent1 159" xfId="16433"/>
    <cellStyle name="Accent1 16" xfId="16434"/>
    <cellStyle name="Accent1 160" xfId="16435"/>
    <cellStyle name="Accent1 161" xfId="16436"/>
    <cellStyle name="Accent1 162" xfId="16437"/>
    <cellStyle name="Accent1 163" xfId="16438"/>
    <cellStyle name="Accent1 163 2" xfId="21532"/>
    <cellStyle name="Accent1 163 3" xfId="21533"/>
    <cellStyle name="Accent1 163_Note Calc" xfId="27113"/>
    <cellStyle name="Accent1 164" xfId="16439"/>
    <cellStyle name="Accent1 165" xfId="16440"/>
    <cellStyle name="Accent1 166" xfId="16441"/>
    <cellStyle name="Accent1 167" xfId="16442"/>
    <cellStyle name="Accent1 168" xfId="16443"/>
    <cellStyle name="Accent1 169" xfId="16444"/>
    <cellStyle name="Accent1 17" xfId="16445"/>
    <cellStyle name="Accent1 170" xfId="16446"/>
    <cellStyle name="Accent1 171" xfId="16447"/>
    <cellStyle name="Accent1 172" xfId="16448"/>
    <cellStyle name="Accent1 173" xfId="16449"/>
    <cellStyle name="Accent1 174" xfId="16450"/>
    <cellStyle name="Accent1 175" xfId="16451"/>
    <cellStyle name="Accent1 176" xfId="16452"/>
    <cellStyle name="Accent1 177" xfId="16453"/>
    <cellStyle name="Accent1 178" xfId="16454"/>
    <cellStyle name="Accent1 179" xfId="16455"/>
    <cellStyle name="Accent1 18" xfId="16456"/>
    <cellStyle name="Accent1 180" xfId="16457"/>
    <cellStyle name="Accent1 181" xfId="16458"/>
    <cellStyle name="Accent1 182" xfId="16459"/>
    <cellStyle name="Accent1 183" xfId="16460"/>
    <cellStyle name="Accent1 184" xfId="16461"/>
    <cellStyle name="Accent1 185" xfId="16462"/>
    <cellStyle name="Accent1 186" xfId="16463"/>
    <cellStyle name="Accent1 187" xfId="16464"/>
    <cellStyle name="Accent1 188" xfId="16465"/>
    <cellStyle name="Accent1 189" xfId="16466"/>
    <cellStyle name="Accent1 19" xfId="16467"/>
    <cellStyle name="Accent1 190" xfId="16468"/>
    <cellStyle name="Accent1 191" xfId="16469"/>
    <cellStyle name="Accent1 192" xfId="16470"/>
    <cellStyle name="Accent1 193" xfId="16471"/>
    <cellStyle name="Accent1 194" xfId="16472"/>
    <cellStyle name="Accent1 195" xfId="16473"/>
    <cellStyle name="Accent1 196" xfId="16474"/>
    <cellStyle name="Accent1 197" xfId="16475"/>
    <cellStyle name="Accent1 198" xfId="16476"/>
    <cellStyle name="Accent1 199" xfId="16477"/>
    <cellStyle name="Accent1 2" xfId="386"/>
    <cellStyle name="Accent1 2 10" xfId="12117"/>
    <cellStyle name="Accent1 2 11" xfId="16478"/>
    <cellStyle name="Accent1 2 12" xfId="27115"/>
    <cellStyle name="Accent1 2 2" xfId="7774"/>
    <cellStyle name="Accent1 2 2 2" xfId="21534"/>
    <cellStyle name="Accent1 2 2_Note Calc" xfId="27116"/>
    <cellStyle name="Accent1 2 3" xfId="7776"/>
    <cellStyle name="Accent1 2 3 2" xfId="21535"/>
    <cellStyle name="Accent1 2 3_Note Calc" xfId="27117"/>
    <cellStyle name="Accent1 2 4" xfId="7777"/>
    <cellStyle name="Accent1 2 4 2" xfId="21536"/>
    <cellStyle name="Accent1 2 4_Note Calc" xfId="27118"/>
    <cellStyle name="Accent1 2 5" xfId="7778"/>
    <cellStyle name="Accent1 2 6" xfId="7779"/>
    <cellStyle name="Accent1 2 7" xfId="7780"/>
    <cellStyle name="Accent1 2 8" xfId="8299"/>
    <cellStyle name="Accent1 2 9" xfId="8296"/>
    <cellStyle name="Accent1 2_Note Calc" xfId="27114"/>
    <cellStyle name="Accent1 20" xfId="16479"/>
    <cellStyle name="Accent1 200" xfId="16480"/>
    <cellStyle name="Accent1 201" xfId="21830"/>
    <cellStyle name="Accent1 202" xfId="21722"/>
    <cellStyle name="Accent1 203" xfId="21965"/>
    <cellStyle name="Accent1 204" xfId="21903"/>
    <cellStyle name="Accent1 205" xfId="27119"/>
    <cellStyle name="Accent1 21" xfId="16481"/>
    <cellStyle name="Accent1 22" xfId="16482"/>
    <cellStyle name="Accent1 23" xfId="16483"/>
    <cellStyle name="Accent1 24" xfId="16484"/>
    <cellStyle name="Accent1 25" xfId="16485"/>
    <cellStyle name="Accent1 26" xfId="16486"/>
    <cellStyle name="Accent1 27" xfId="16487"/>
    <cellStyle name="Accent1 28" xfId="16488"/>
    <cellStyle name="Accent1 29" xfId="16489"/>
    <cellStyle name="Accent1 3" xfId="7781"/>
    <cellStyle name="Accent1 3 2" xfId="7782"/>
    <cellStyle name="Accent1 3 3" xfId="7783"/>
    <cellStyle name="Accent1 3 4" xfId="7784"/>
    <cellStyle name="Accent1 3 5" xfId="7785"/>
    <cellStyle name="Accent1 3 6" xfId="7786"/>
    <cellStyle name="Accent1 3 7" xfId="7787"/>
    <cellStyle name="Accent1 3 8" xfId="16490"/>
    <cellStyle name="Accent1 3 9" xfId="27120"/>
    <cellStyle name="Accent1 3_Forecast" xfId="22508"/>
    <cellStyle name="Accent1 30" xfId="16491"/>
    <cellStyle name="Accent1 31" xfId="16492"/>
    <cellStyle name="Accent1 32" xfId="16493"/>
    <cellStyle name="Accent1 33" xfId="16494"/>
    <cellStyle name="Accent1 34" xfId="16495"/>
    <cellStyle name="Accent1 35" xfId="16496"/>
    <cellStyle name="Accent1 36" xfId="16497"/>
    <cellStyle name="Accent1 37" xfId="16498"/>
    <cellStyle name="Accent1 38" xfId="16499"/>
    <cellStyle name="Accent1 39" xfId="16500"/>
    <cellStyle name="Accent1 4" xfId="7788"/>
    <cellStyle name="Accent1 4 2" xfId="16501"/>
    <cellStyle name="Accent1 4_Note Calc" xfId="27121"/>
    <cellStyle name="Accent1 40" xfId="16502"/>
    <cellStyle name="Accent1 41" xfId="16503"/>
    <cellStyle name="Accent1 42" xfId="16504"/>
    <cellStyle name="Accent1 43" xfId="16505"/>
    <cellStyle name="Accent1 44" xfId="16506"/>
    <cellStyle name="Accent1 45" xfId="16507"/>
    <cellStyle name="Accent1 46" xfId="16508"/>
    <cellStyle name="Accent1 47" xfId="16509"/>
    <cellStyle name="Accent1 48" xfId="16510"/>
    <cellStyle name="Accent1 49" xfId="16511"/>
    <cellStyle name="Accent1 5" xfId="7789"/>
    <cellStyle name="Accent1 5 2" xfId="16512"/>
    <cellStyle name="Accent1 5_Note Calc" xfId="27122"/>
    <cellStyle name="Accent1 50" xfId="16513"/>
    <cellStyle name="Accent1 51" xfId="16514"/>
    <cellStyle name="Accent1 52" xfId="16515"/>
    <cellStyle name="Accent1 53" xfId="16516"/>
    <cellStyle name="Accent1 54" xfId="16517"/>
    <cellStyle name="Accent1 55" xfId="16518"/>
    <cellStyle name="Accent1 56" xfId="16519"/>
    <cellStyle name="Accent1 57" xfId="16520"/>
    <cellStyle name="Accent1 58" xfId="16521"/>
    <cellStyle name="Accent1 59" xfId="16522"/>
    <cellStyle name="Accent1 6" xfId="7790"/>
    <cellStyle name="Accent1 6 2" xfId="16523"/>
    <cellStyle name="Accent1 6_Note Calc" xfId="27123"/>
    <cellStyle name="Accent1 60" xfId="16524"/>
    <cellStyle name="Accent1 61" xfId="16525"/>
    <cellStyle name="Accent1 62" xfId="16526"/>
    <cellStyle name="Accent1 63" xfId="16527"/>
    <cellStyle name="Accent1 64" xfId="16528"/>
    <cellStyle name="Accent1 65" xfId="16529"/>
    <cellStyle name="Accent1 66" xfId="16530"/>
    <cellStyle name="Accent1 67" xfId="16531"/>
    <cellStyle name="Accent1 68" xfId="16532"/>
    <cellStyle name="Accent1 69" xfId="16533"/>
    <cellStyle name="Accent1 7" xfId="7791"/>
    <cellStyle name="Accent1 7 2" xfId="16534"/>
    <cellStyle name="Accent1 7_Note Calc" xfId="27124"/>
    <cellStyle name="Accent1 70" xfId="16535"/>
    <cellStyle name="Accent1 71" xfId="16536"/>
    <cellStyle name="Accent1 72" xfId="16537"/>
    <cellStyle name="Accent1 73" xfId="16538"/>
    <cellStyle name="Accent1 74" xfId="16539"/>
    <cellStyle name="Accent1 75" xfId="16540"/>
    <cellStyle name="Accent1 76" xfId="16541"/>
    <cellStyle name="Accent1 77" xfId="16542"/>
    <cellStyle name="Accent1 78" xfId="16543"/>
    <cellStyle name="Accent1 79" xfId="16544"/>
    <cellStyle name="Accent1 8" xfId="7792"/>
    <cellStyle name="Accent1 8 2" xfId="16545"/>
    <cellStyle name="Accent1 8_Note Calc" xfId="27125"/>
    <cellStyle name="Accent1 80" xfId="16546"/>
    <cellStyle name="Accent1 81" xfId="16547"/>
    <cellStyle name="Accent1 82" xfId="16548"/>
    <cellStyle name="Accent1 83" xfId="16549"/>
    <cellStyle name="Accent1 84" xfId="16550"/>
    <cellStyle name="Accent1 85" xfId="16551"/>
    <cellStyle name="Accent1 86" xfId="16552"/>
    <cellStyle name="Accent1 87" xfId="16553"/>
    <cellStyle name="Accent1 88" xfId="16554"/>
    <cellStyle name="Accent1 89" xfId="16555"/>
    <cellStyle name="Accent1 9" xfId="7793"/>
    <cellStyle name="Accent1 9 2" xfId="16556"/>
    <cellStyle name="Accent1 9_Note Calc" xfId="27126"/>
    <cellStyle name="Accent1 90" xfId="16557"/>
    <cellStyle name="Accent1 91" xfId="16558"/>
    <cellStyle name="Accent1 92" xfId="16559"/>
    <cellStyle name="Accent1 93" xfId="16560"/>
    <cellStyle name="Accent1 94" xfId="16561"/>
    <cellStyle name="Accent1 95" xfId="16562"/>
    <cellStyle name="Accent1 96" xfId="16563"/>
    <cellStyle name="Accent1 97" xfId="16564"/>
    <cellStyle name="Accent1 98" xfId="16565"/>
    <cellStyle name="Accent1 99" xfId="16566"/>
    <cellStyle name="Accent2" xfId="387" builtinId="33" customBuiltin="1"/>
    <cellStyle name="Accent2 10" xfId="12238"/>
    <cellStyle name="Accent2 100" xfId="16567"/>
    <cellStyle name="Accent2 101" xfId="16568"/>
    <cellStyle name="Accent2 102" xfId="16569"/>
    <cellStyle name="Accent2 103" xfId="16570"/>
    <cellStyle name="Accent2 104" xfId="16571"/>
    <cellStyle name="Accent2 105" xfId="16572"/>
    <cellStyle name="Accent2 106" xfId="16573"/>
    <cellStyle name="Accent2 107" xfId="16574"/>
    <cellStyle name="Accent2 108" xfId="16575"/>
    <cellStyle name="Accent2 109" xfId="16576"/>
    <cellStyle name="Accent2 11" xfId="16577"/>
    <cellStyle name="Accent2 110" xfId="16578"/>
    <cellStyle name="Accent2 111" xfId="16579"/>
    <cellStyle name="Accent2 112" xfId="16580"/>
    <cellStyle name="Accent2 113" xfId="16581"/>
    <cellStyle name="Accent2 114" xfId="16582"/>
    <cellStyle name="Accent2 115" xfId="16583"/>
    <cellStyle name="Accent2 116" xfId="16584"/>
    <cellStyle name="Accent2 117" xfId="16585"/>
    <cellStyle name="Accent2 118" xfId="16586"/>
    <cellStyle name="Accent2 119" xfId="16587"/>
    <cellStyle name="Accent2 12" xfId="16588"/>
    <cellStyle name="Accent2 120" xfId="16589"/>
    <cellStyle name="Accent2 121" xfId="16590"/>
    <cellStyle name="Accent2 122" xfId="16591"/>
    <cellStyle name="Accent2 123" xfId="16592"/>
    <cellStyle name="Accent2 124" xfId="16593"/>
    <cellStyle name="Accent2 125" xfId="16594"/>
    <cellStyle name="Accent2 126" xfId="16595"/>
    <cellStyle name="Accent2 127" xfId="16596"/>
    <cellStyle name="Accent2 128" xfId="16597"/>
    <cellStyle name="Accent2 129" xfId="16598"/>
    <cellStyle name="Accent2 13" xfId="16599"/>
    <cellStyle name="Accent2 130" xfId="16600"/>
    <cellStyle name="Accent2 131" xfId="16601"/>
    <cellStyle name="Accent2 132" xfId="16602"/>
    <cellStyle name="Accent2 133" xfId="16603"/>
    <cellStyle name="Accent2 134" xfId="16604"/>
    <cellStyle name="Accent2 135" xfId="16605"/>
    <cellStyle name="Accent2 136" xfId="16606"/>
    <cellStyle name="Accent2 137" xfId="16607"/>
    <cellStyle name="Accent2 138" xfId="16608"/>
    <cellStyle name="Accent2 139" xfId="16609"/>
    <cellStyle name="Accent2 14" xfId="16610"/>
    <cellStyle name="Accent2 140" xfId="16611"/>
    <cellStyle name="Accent2 141" xfId="16612"/>
    <cellStyle name="Accent2 142" xfId="16613"/>
    <cellStyle name="Accent2 143" xfId="16614"/>
    <cellStyle name="Accent2 144" xfId="16615"/>
    <cellStyle name="Accent2 145" xfId="16616"/>
    <cellStyle name="Accent2 146" xfId="16617"/>
    <cellStyle name="Accent2 147" xfId="16618"/>
    <cellStyle name="Accent2 148" xfId="16619"/>
    <cellStyle name="Accent2 149" xfId="16620"/>
    <cellStyle name="Accent2 15" xfId="16621"/>
    <cellStyle name="Accent2 150" xfId="16622"/>
    <cellStyle name="Accent2 151" xfId="16623"/>
    <cellStyle name="Accent2 152" xfId="16624"/>
    <cellStyle name="Accent2 153" xfId="16625"/>
    <cellStyle name="Accent2 154" xfId="16626"/>
    <cellStyle name="Accent2 155" xfId="16627"/>
    <cellStyle name="Accent2 156" xfId="16628"/>
    <cellStyle name="Accent2 157" xfId="16629"/>
    <cellStyle name="Accent2 158" xfId="16630"/>
    <cellStyle name="Accent2 159" xfId="16631"/>
    <cellStyle name="Accent2 16" xfId="16632"/>
    <cellStyle name="Accent2 160" xfId="16633"/>
    <cellStyle name="Accent2 161" xfId="16634"/>
    <cellStyle name="Accent2 162" xfId="16635"/>
    <cellStyle name="Accent2 163" xfId="16636"/>
    <cellStyle name="Accent2 163 2" xfId="21537"/>
    <cellStyle name="Accent2 163 3" xfId="21538"/>
    <cellStyle name="Accent2 163_Note Calc" xfId="27127"/>
    <cellStyle name="Accent2 164" xfId="16637"/>
    <cellStyle name="Accent2 165" xfId="16638"/>
    <cellStyle name="Accent2 166" xfId="16639"/>
    <cellStyle name="Accent2 167" xfId="16640"/>
    <cellStyle name="Accent2 168" xfId="16641"/>
    <cellStyle name="Accent2 169" xfId="16642"/>
    <cellStyle name="Accent2 17" xfId="16643"/>
    <cellStyle name="Accent2 170" xfId="16644"/>
    <cellStyle name="Accent2 171" xfId="16645"/>
    <cellStyle name="Accent2 172" xfId="16646"/>
    <cellStyle name="Accent2 173" xfId="16647"/>
    <cellStyle name="Accent2 174" xfId="16648"/>
    <cellStyle name="Accent2 175" xfId="16649"/>
    <cellStyle name="Accent2 176" xfId="16650"/>
    <cellStyle name="Accent2 177" xfId="16651"/>
    <cellStyle name="Accent2 178" xfId="16652"/>
    <cellStyle name="Accent2 179" xfId="16653"/>
    <cellStyle name="Accent2 18" xfId="16654"/>
    <cellStyle name="Accent2 180" xfId="16655"/>
    <cellStyle name="Accent2 181" xfId="16656"/>
    <cellStyle name="Accent2 182" xfId="16657"/>
    <cellStyle name="Accent2 183" xfId="16658"/>
    <cellStyle name="Accent2 184" xfId="16659"/>
    <cellStyle name="Accent2 185" xfId="16660"/>
    <cellStyle name="Accent2 186" xfId="16661"/>
    <cellStyle name="Accent2 187" xfId="16662"/>
    <cellStyle name="Accent2 188" xfId="16663"/>
    <cellStyle name="Accent2 189" xfId="16664"/>
    <cellStyle name="Accent2 19" xfId="16665"/>
    <cellStyle name="Accent2 190" xfId="16666"/>
    <cellStyle name="Accent2 191" xfId="16667"/>
    <cellStyle name="Accent2 192" xfId="16668"/>
    <cellStyle name="Accent2 193" xfId="16669"/>
    <cellStyle name="Accent2 194" xfId="16670"/>
    <cellStyle name="Accent2 195" xfId="16671"/>
    <cellStyle name="Accent2 196" xfId="16672"/>
    <cellStyle name="Accent2 197" xfId="16673"/>
    <cellStyle name="Accent2 198" xfId="16674"/>
    <cellStyle name="Accent2 199" xfId="16675"/>
    <cellStyle name="Accent2 2" xfId="388"/>
    <cellStyle name="Accent2 2 10" xfId="12118"/>
    <cellStyle name="Accent2 2 11" xfId="16676"/>
    <cellStyle name="Accent2 2 12" xfId="27129"/>
    <cellStyle name="Accent2 2 2" xfId="7794"/>
    <cellStyle name="Accent2 2 2 2" xfId="21539"/>
    <cellStyle name="Accent2 2 2_Note Calc" xfId="27130"/>
    <cellStyle name="Accent2 2 3" xfId="7796"/>
    <cellStyle name="Accent2 2 3 2" xfId="21540"/>
    <cellStyle name="Accent2 2 3_Note Calc" xfId="27131"/>
    <cellStyle name="Accent2 2 4" xfId="7797"/>
    <cellStyle name="Accent2 2 4 2" xfId="21541"/>
    <cellStyle name="Accent2 2 4_Note Calc" xfId="27132"/>
    <cellStyle name="Accent2 2 5" xfId="7798"/>
    <cellStyle name="Accent2 2 6" xfId="7799"/>
    <cellStyle name="Accent2 2 7" xfId="7800"/>
    <cellStyle name="Accent2 2 8" xfId="8301"/>
    <cellStyle name="Accent2 2 9" xfId="8294"/>
    <cellStyle name="Accent2 2_Note Calc" xfId="27128"/>
    <cellStyle name="Accent2 20" xfId="16677"/>
    <cellStyle name="Accent2 200" xfId="16678"/>
    <cellStyle name="Accent2 201" xfId="21831"/>
    <cellStyle name="Accent2 202" xfId="21726"/>
    <cellStyle name="Accent2 203" xfId="21969"/>
    <cellStyle name="Accent2 204" xfId="21899"/>
    <cellStyle name="Accent2 205" xfId="27133"/>
    <cellStyle name="Accent2 21" xfId="16679"/>
    <cellStyle name="Accent2 22" xfId="16680"/>
    <cellStyle name="Accent2 23" xfId="16681"/>
    <cellStyle name="Accent2 24" xfId="16682"/>
    <cellStyle name="Accent2 25" xfId="16683"/>
    <cellStyle name="Accent2 26" xfId="16684"/>
    <cellStyle name="Accent2 27" xfId="16685"/>
    <cellStyle name="Accent2 28" xfId="16686"/>
    <cellStyle name="Accent2 29" xfId="16687"/>
    <cellStyle name="Accent2 3" xfId="7801"/>
    <cellStyle name="Accent2 3 2" xfId="7802"/>
    <cellStyle name="Accent2 3 3" xfId="7803"/>
    <cellStyle name="Accent2 3 4" xfId="7804"/>
    <cellStyle name="Accent2 3 5" xfId="7805"/>
    <cellStyle name="Accent2 3 6" xfId="7806"/>
    <cellStyle name="Accent2 3 7" xfId="7807"/>
    <cellStyle name="Accent2 3 8" xfId="16688"/>
    <cellStyle name="Accent2 3 9" xfId="27134"/>
    <cellStyle name="Accent2 3_Forecast" xfId="22509"/>
    <cellStyle name="Accent2 30" xfId="16689"/>
    <cellStyle name="Accent2 31" xfId="16690"/>
    <cellStyle name="Accent2 32" xfId="16691"/>
    <cellStyle name="Accent2 33" xfId="16692"/>
    <cellStyle name="Accent2 34" xfId="16693"/>
    <cellStyle name="Accent2 35" xfId="16694"/>
    <cellStyle name="Accent2 36" xfId="16695"/>
    <cellStyle name="Accent2 37" xfId="16696"/>
    <cellStyle name="Accent2 38" xfId="16697"/>
    <cellStyle name="Accent2 39" xfId="16698"/>
    <cellStyle name="Accent2 4" xfId="7808"/>
    <cellStyle name="Accent2 4 2" xfId="16699"/>
    <cellStyle name="Accent2 4_Note Calc" xfId="27135"/>
    <cellStyle name="Accent2 40" xfId="16700"/>
    <cellStyle name="Accent2 41" xfId="16701"/>
    <cellStyle name="Accent2 42" xfId="16702"/>
    <cellStyle name="Accent2 43" xfId="16703"/>
    <cellStyle name="Accent2 44" xfId="16704"/>
    <cellStyle name="Accent2 45" xfId="16705"/>
    <cellStyle name="Accent2 46" xfId="16706"/>
    <cellStyle name="Accent2 47" xfId="16707"/>
    <cellStyle name="Accent2 48" xfId="16708"/>
    <cellStyle name="Accent2 49" xfId="16709"/>
    <cellStyle name="Accent2 5" xfId="7809"/>
    <cellStyle name="Accent2 5 2" xfId="16710"/>
    <cellStyle name="Accent2 5_Note Calc" xfId="27136"/>
    <cellStyle name="Accent2 50" xfId="16711"/>
    <cellStyle name="Accent2 51" xfId="16712"/>
    <cellStyle name="Accent2 52" xfId="16713"/>
    <cellStyle name="Accent2 53" xfId="16714"/>
    <cellStyle name="Accent2 54" xfId="16715"/>
    <cellStyle name="Accent2 55" xfId="16716"/>
    <cellStyle name="Accent2 56" xfId="16717"/>
    <cellStyle name="Accent2 57" xfId="16718"/>
    <cellStyle name="Accent2 58" xfId="16719"/>
    <cellStyle name="Accent2 59" xfId="16720"/>
    <cellStyle name="Accent2 6" xfId="7810"/>
    <cellStyle name="Accent2 6 2" xfId="16721"/>
    <cellStyle name="Accent2 6_Note Calc" xfId="27137"/>
    <cellStyle name="Accent2 60" xfId="16722"/>
    <cellStyle name="Accent2 61" xfId="16723"/>
    <cellStyle name="Accent2 62" xfId="16724"/>
    <cellStyle name="Accent2 63" xfId="16725"/>
    <cellStyle name="Accent2 64" xfId="16726"/>
    <cellStyle name="Accent2 65" xfId="16727"/>
    <cellStyle name="Accent2 66" xfId="16728"/>
    <cellStyle name="Accent2 67" xfId="16729"/>
    <cellStyle name="Accent2 68" xfId="16730"/>
    <cellStyle name="Accent2 69" xfId="16731"/>
    <cellStyle name="Accent2 7" xfId="7811"/>
    <cellStyle name="Accent2 7 2" xfId="16732"/>
    <cellStyle name="Accent2 7_Note Calc" xfId="27138"/>
    <cellStyle name="Accent2 70" xfId="16733"/>
    <cellStyle name="Accent2 71" xfId="16734"/>
    <cellStyle name="Accent2 72" xfId="16735"/>
    <cellStyle name="Accent2 73" xfId="16736"/>
    <cellStyle name="Accent2 74" xfId="16737"/>
    <cellStyle name="Accent2 75" xfId="16738"/>
    <cellStyle name="Accent2 76" xfId="16739"/>
    <cellStyle name="Accent2 77" xfId="16740"/>
    <cellStyle name="Accent2 78" xfId="16741"/>
    <cellStyle name="Accent2 79" xfId="16742"/>
    <cellStyle name="Accent2 8" xfId="7812"/>
    <cellStyle name="Accent2 8 2" xfId="16743"/>
    <cellStyle name="Accent2 8_Note Calc" xfId="27139"/>
    <cellStyle name="Accent2 80" xfId="16744"/>
    <cellStyle name="Accent2 81" xfId="16745"/>
    <cellStyle name="Accent2 82" xfId="16746"/>
    <cellStyle name="Accent2 83" xfId="16747"/>
    <cellStyle name="Accent2 84" xfId="16748"/>
    <cellStyle name="Accent2 85" xfId="16749"/>
    <cellStyle name="Accent2 86" xfId="16750"/>
    <cellStyle name="Accent2 87" xfId="16751"/>
    <cellStyle name="Accent2 88" xfId="16752"/>
    <cellStyle name="Accent2 89" xfId="16753"/>
    <cellStyle name="Accent2 9" xfId="7813"/>
    <cellStyle name="Accent2 9 2" xfId="16754"/>
    <cellStyle name="Accent2 9_Note Calc" xfId="27140"/>
    <cellStyle name="Accent2 90" xfId="16755"/>
    <cellStyle name="Accent2 91" xfId="16756"/>
    <cellStyle name="Accent2 92" xfId="16757"/>
    <cellStyle name="Accent2 93" xfId="16758"/>
    <cellStyle name="Accent2 94" xfId="16759"/>
    <cellStyle name="Accent2 95" xfId="16760"/>
    <cellStyle name="Accent2 96" xfId="16761"/>
    <cellStyle name="Accent2 97" xfId="16762"/>
    <cellStyle name="Accent2 98" xfId="16763"/>
    <cellStyle name="Accent2 99" xfId="16764"/>
    <cellStyle name="Accent3" xfId="389" builtinId="37" customBuiltin="1"/>
    <cellStyle name="Accent3 10" xfId="12242"/>
    <cellStyle name="Accent3 100" xfId="16765"/>
    <cellStyle name="Accent3 101" xfId="16766"/>
    <cellStyle name="Accent3 102" xfId="16767"/>
    <cellStyle name="Accent3 103" xfId="16768"/>
    <cellStyle name="Accent3 104" xfId="16769"/>
    <cellStyle name="Accent3 105" xfId="16770"/>
    <cellStyle name="Accent3 106" xfId="16771"/>
    <cellStyle name="Accent3 107" xfId="16772"/>
    <cellStyle name="Accent3 108" xfId="16773"/>
    <cellStyle name="Accent3 109" xfId="16774"/>
    <cellStyle name="Accent3 11" xfId="16775"/>
    <cellStyle name="Accent3 110" xfId="16776"/>
    <cellStyle name="Accent3 111" xfId="16777"/>
    <cellStyle name="Accent3 112" xfId="16778"/>
    <cellStyle name="Accent3 113" xfId="16779"/>
    <cellStyle name="Accent3 114" xfId="16780"/>
    <cellStyle name="Accent3 115" xfId="16781"/>
    <cellStyle name="Accent3 116" xfId="16782"/>
    <cellStyle name="Accent3 117" xfId="16783"/>
    <cellStyle name="Accent3 118" xfId="16784"/>
    <cellStyle name="Accent3 119" xfId="16785"/>
    <cellStyle name="Accent3 12" xfId="16786"/>
    <cellStyle name="Accent3 120" xfId="16787"/>
    <cellStyle name="Accent3 121" xfId="16788"/>
    <cellStyle name="Accent3 122" xfId="16789"/>
    <cellStyle name="Accent3 123" xfId="16790"/>
    <cellStyle name="Accent3 124" xfId="16791"/>
    <cellStyle name="Accent3 125" xfId="16792"/>
    <cellStyle name="Accent3 126" xfId="16793"/>
    <cellStyle name="Accent3 127" xfId="16794"/>
    <cellStyle name="Accent3 128" xfId="16795"/>
    <cellStyle name="Accent3 129" xfId="16796"/>
    <cellStyle name="Accent3 13" xfId="16797"/>
    <cellStyle name="Accent3 130" xfId="16798"/>
    <cellStyle name="Accent3 131" xfId="16799"/>
    <cellStyle name="Accent3 132" xfId="16800"/>
    <cellStyle name="Accent3 133" xfId="16801"/>
    <cellStyle name="Accent3 134" xfId="16802"/>
    <cellStyle name="Accent3 135" xfId="16803"/>
    <cellStyle name="Accent3 136" xfId="16804"/>
    <cellStyle name="Accent3 137" xfId="16805"/>
    <cellStyle name="Accent3 138" xfId="16806"/>
    <cellStyle name="Accent3 139" xfId="16807"/>
    <cellStyle name="Accent3 14" xfId="16808"/>
    <cellStyle name="Accent3 140" xfId="16809"/>
    <cellStyle name="Accent3 141" xfId="16810"/>
    <cellStyle name="Accent3 142" xfId="16811"/>
    <cellStyle name="Accent3 143" xfId="16812"/>
    <cellStyle name="Accent3 144" xfId="16813"/>
    <cellStyle name="Accent3 145" xfId="16814"/>
    <cellStyle name="Accent3 146" xfId="16815"/>
    <cellStyle name="Accent3 147" xfId="16816"/>
    <cellStyle name="Accent3 148" xfId="16817"/>
    <cellStyle name="Accent3 149" xfId="16818"/>
    <cellStyle name="Accent3 15" xfId="16819"/>
    <cellStyle name="Accent3 150" xfId="16820"/>
    <cellStyle name="Accent3 151" xfId="16821"/>
    <cellStyle name="Accent3 152" xfId="16822"/>
    <cellStyle name="Accent3 153" xfId="16823"/>
    <cellStyle name="Accent3 154" xfId="16824"/>
    <cellStyle name="Accent3 155" xfId="16825"/>
    <cellStyle name="Accent3 156" xfId="16826"/>
    <cellStyle name="Accent3 157" xfId="16827"/>
    <cellStyle name="Accent3 158" xfId="16828"/>
    <cellStyle name="Accent3 159" xfId="16829"/>
    <cellStyle name="Accent3 16" xfId="16830"/>
    <cellStyle name="Accent3 160" xfId="16831"/>
    <cellStyle name="Accent3 161" xfId="16832"/>
    <cellStyle name="Accent3 162" xfId="16833"/>
    <cellStyle name="Accent3 163" xfId="16834"/>
    <cellStyle name="Accent3 163 2" xfId="21542"/>
    <cellStyle name="Accent3 163 3" xfId="21543"/>
    <cellStyle name="Accent3 163_Note Calc" xfId="27141"/>
    <cellStyle name="Accent3 164" xfId="16835"/>
    <cellStyle name="Accent3 165" xfId="16836"/>
    <cellStyle name="Accent3 166" xfId="16837"/>
    <cellStyle name="Accent3 167" xfId="16838"/>
    <cellStyle name="Accent3 168" xfId="16839"/>
    <cellStyle name="Accent3 169" xfId="16840"/>
    <cellStyle name="Accent3 17" xfId="16841"/>
    <cellStyle name="Accent3 170" xfId="16842"/>
    <cellStyle name="Accent3 171" xfId="16843"/>
    <cellStyle name="Accent3 172" xfId="16844"/>
    <cellStyle name="Accent3 173" xfId="16845"/>
    <cellStyle name="Accent3 174" xfId="16846"/>
    <cellStyle name="Accent3 175" xfId="16847"/>
    <cellStyle name="Accent3 176" xfId="16848"/>
    <cellStyle name="Accent3 177" xfId="16849"/>
    <cellStyle name="Accent3 178" xfId="16850"/>
    <cellStyle name="Accent3 179" xfId="16851"/>
    <cellStyle name="Accent3 18" xfId="16852"/>
    <cellStyle name="Accent3 180" xfId="16853"/>
    <cellStyle name="Accent3 181" xfId="16854"/>
    <cellStyle name="Accent3 182" xfId="16855"/>
    <cellStyle name="Accent3 183" xfId="16856"/>
    <cellStyle name="Accent3 184" xfId="16857"/>
    <cellStyle name="Accent3 185" xfId="16858"/>
    <cellStyle name="Accent3 186" xfId="16859"/>
    <cellStyle name="Accent3 187" xfId="16860"/>
    <cellStyle name="Accent3 188" xfId="16861"/>
    <cellStyle name="Accent3 189" xfId="16862"/>
    <cellStyle name="Accent3 19" xfId="16863"/>
    <cellStyle name="Accent3 190" xfId="16864"/>
    <cellStyle name="Accent3 191" xfId="16865"/>
    <cellStyle name="Accent3 192" xfId="16866"/>
    <cellStyle name="Accent3 193" xfId="16867"/>
    <cellStyle name="Accent3 194" xfId="16868"/>
    <cellStyle name="Accent3 195" xfId="16869"/>
    <cellStyle name="Accent3 196" xfId="16870"/>
    <cellStyle name="Accent3 197" xfId="16871"/>
    <cellStyle name="Accent3 198" xfId="16872"/>
    <cellStyle name="Accent3 199" xfId="16873"/>
    <cellStyle name="Accent3 2" xfId="390"/>
    <cellStyle name="Accent3 2 10" xfId="12119"/>
    <cellStyle name="Accent3 2 11" xfId="16874"/>
    <cellStyle name="Accent3 2 12" xfId="27143"/>
    <cellStyle name="Accent3 2 2" xfId="7814"/>
    <cellStyle name="Accent3 2 2 2" xfId="21544"/>
    <cellStyle name="Accent3 2 2_Note Calc" xfId="27144"/>
    <cellStyle name="Accent3 2 3" xfId="7815"/>
    <cellStyle name="Accent3 2 3 2" xfId="21545"/>
    <cellStyle name="Accent3 2 3_Note Calc" xfId="27145"/>
    <cellStyle name="Accent3 2 4" xfId="7816"/>
    <cellStyle name="Accent3 2 4 2" xfId="21546"/>
    <cellStyle name="Accent3 2 4_Note Calc" xfId="27146"/>
    <cellStyle name="Accent3 2 5" xfId="7817"/>
    <cellStyle name="Accent3 2 6" xfId="7818"/>
    <cellStyle name="Accent3 2 7" xfId="7819"/>
    <cellStyle name="Accent3 2 8" xfId="8302"/>
    <cellStyle name="Accent3 2 9" xfId="8292"/>
    <cellStyle name="Accent3 2_Note Calc" xfId="27142"/>
    <cellStyle name="Accent3 20" xfId="16875"/>
    <cellStyle name="Accent3 200" xfId="16876"/>
    <cellStyle name="Accent3 201" xfId="21832"/>
    <cellStyle name="Accent3 202" xfId="21730"/>
    <cellStyle name="Accent3 203" xfId="21973"/>
    <cellStyle name="Accent3 204" xfId="21895"/>
    <cellStyle name="Accent3 205" xfId="27147"/>
    <cellStyle name="Accent3 21" xfId="16877"/>
    <cellStyle name="Accent3 22" xfId="16878"/>
    <cellStyle name="Accent3 23" xfId="16879"/>
    <cellStyle name="Accent3 24" xfId="16880"/>
    <cellStyle name="Accent3 25" xfId="16881"/>
    <cellStyle name="Accent3 26" xfId="16882"/>
    <cellStyle name="Accent3 27" xfId="16883"/>
    <cellStyle name="Accent3 28" xfId="16884"/>
    <cellStyle name="Accent3 29" xfId="16885"/>
    <cellStyle name="Accent3 3" xfId="7820"/>
    <cellStyle name="Accent3 3 2" xfId="7821"/>
    <cellStyle name="Accent3 3 3" xfId="7822"/>
    <cellStyle name="Accent3 3 4" xfId="7823"/>
    <cellStyle name="Accent3 3 5" xfId="7824"/>
    <cellStyle name="Accent3 3 6" xfId="7825"/>
    <cellStyle name="Accent3 3 7" xfId="7826"/>
    <cellStyle name="Accent3 3 8" xfId="16886"/>
    <cellStyle name="Accent3 3 9" xfId="27148"/>
    <cellStyle name="Accent3 3_Forecast" xfId="22510"/>
    <cellStyle name="Accent3 30" xfId="16887"/>
    <cellStyle name="Accent3 31" xfId="16888"/>
    <cellStyle name="Accent3 32" xfId="16889"/>
    <cellStyle name="Accent3 33" xfId="16890"/>
    <cellStyle name="Accent3 34" xfId="16891"/>
    <cellStyle name="Accent3 35" xfId="16892"/>
    <cellStyle name="Accent3 36" xfId="16893"/>
    <cellStyle name="Accent3 37" xfId="16894"/>
    <cellStyle name="Accent3 38" xfId="16895"/>
    <cellStyle name="Accent3 39" xfId="16896"/>
    <cellStyle name="Accent3 4" xfId="7827"/>
    <cellStyle name="Accent3 4 2" xfId="16897"/>
    <cellStyle name="Accent3 4_Note Calc" xfId="27149"/>
    <cellStyle name="Accent3 40" xfId="16898"/>
    <cellStyle name="Accent3 41" xfId="16899"/>
    <cellStyle name="Accent3 42" xfId="16900"/>
    <cellStyle name="Accent3 43" xfId="16901"/>
    <cellStyle name="Accent3 44" xfId="16902"/>
    <cellStyle name="Accent3 45" xfId="16903"/>
    <cellStyle name="Accent3 46" xfId="16904"/>
    <cellStyle name="Accent3 47" xfId="16905"/>
    <cellStyle name="Accent3 48" xfId="16906"/>
    <cellStyle name="Accent3 49" xfId="16907"/>
    <cellStyle name="Accent3 5" xfId="7828"/>
    <cellStyle name="Accent3 5 2" xfId="16908"/>
    <cellStyle name="Accent3 5_Note Calc" xfId="27150"/>
    <cellStyle name="Accent3 50" xfId="16909"/>
    <cellStyle name="Accent3 51" xfId="16910"/>
    <cellStyle name="Accent3 52" xfId="16911"/>
    <cellStyle name="Accent3 53" xfId="16912"/>
    <cellStyle name="Accent3 54" xfId="16913"/>
    <cellStyle name="Accent3 55" xfId="16914"/>
    <cellStyle name="Accent3 56" xfId="16915"/>
    <cellStyle name="Accent3 57" xfId="16916"/>
    <cellStyle name="Accent3 58" xfId="16917"/>
    <cellStyle name="Accent3 59" xfId="16918"/>
    <cellStyle name="Accent3 6" xfId="7829"/>
    <cellStyle name="Accent3 6 2" xfId="16919"/>
    <cellStyle name="Accent3 6_Note Calc" xfId="27151"/>
    <cellStyle name="Accent3 60" xfId="16920"/>
    <cellStyle name="Accent3 61" xfId="16921"/>
    <cellStyle name="Accent3 62" xfId="16922"/>
    <cellStyle name="Accent3 63" xfId="16923"/>
    <cellStyle name="Accent3 64" xfId="16924"/>
    <cellStyle name="Accent3 65" xfId="16925"/>
    <cellStyle name="Accent3 66" xfId="16926"/>
    <cellStyle name="Accent3 67" xfId="16927"/>
    <cellStyle name="Accent3 68" xfId="16928"/>
    <cellStyle name="Accent3 69" xfId="16929"/>
    <cellStyle name="Accent3 7" xfId="7830"/>
    <cellStyle name="Accent3 7 2" xfId="16930"/>
    <cellStyle name="Accent3 7_Note Calc" xfId="27152"/>
    <cellStyle name="Accent3 70" xfId="16931"/>
    <cellStyle name="Accent3 71" xfId="16932"/>
    <cellStyle name="Accent3 72" xfId="16933"/>
    <cellStyle name="Accent3 73" xfId="16934"/>
    <cellStyle name="Accent3 74" xfId="16935"/>
    <cellStyle name="Accent3 75" xfId="16936"/>
    <cellStyle name="Accent3 76" xfId="16937"/>
    <cellStyle name="Accent3 77" xfId="16938"/>
    <cellStyle name="Accent3 78" xfId="16939"/>
    <cellStyle name="Accent3 79" xfId="16940"/>
    <cellStyle name="Accent3 8" xfId="7831"/>
    <cellStyle name="Accent3 8 2" xfId="16941"/>
    <cellStyle name="Accent3 8_Note Calc" xfId="27153"/>
    <cellStyle name="Accent3 80" xfId="16942"/>
    <cellStyle name="Accent3 81" xfId="16943"/>
    <cellStyle name="Accent3 82" xfId="16944"/>
    <cellStyle name="Accent3 83" xfId="16945"/>
    <cellStyle name="Accent3 84" xfId="16946"/>
    <cellStyle name="Accent3 85" xfId="16947"/>
    <cellStyle name="Accent3 86" xfId="16948"/>
    <cellStyle name="Accent3 87" xfId="16949"/>
    <cellStyle name="Accent3 88" xfId="16950"/>
    <cellStyle name="Accent3 89" xfId="16951"/>
    <cellStyle name="Accent3 9" xfId="7832"/>
    <cellStyle name="Accent3 9 2" xfId="16952"/>
    <cellStyle name="Accent3 9_Note Calc" xfId="27154"/>
    <cellStyle name="Accent3 90" xfId="16953"/>
    <cellStyle name="Accent3 91" xfId="16954"/>
    <cellStyle name="Accent3 92" xfId="16955"/>
    <cellStyle name="Accent3 93" xfId="16956"/>
    <cellStyle name="Accent3 94" xfId="16957"/>
    <cellStyle name="Accent3 95" xfId="16958"/>
    <cellStyle name="Accent3 96" xfId="16959"/>
    <cellStyle name="Accent3 97" xfId="16960"/>
    <cellStyle name="Accent3 98" xfId="16961"/>
    <cellStyle name="Accent3 99" xfId="16962"/>
    <cellStyle name="Accent4" xfId="391" builtinId="41" customBuiltin="1"/>
    <cellStyle name="Accent4 10" xfId="12246"/>
    <cellStyle name="Accent4 100" xfId="16963"/>
    <cellStyle name="Accent4 101" xfId="16964"/>
    <cellStyle name="Accent4 102" xfId="16965"/>
    <cellStyle name="Accent4 103" xfId="16966"/>
    <cellStyle name="Accent4 104" xfId="16967"/>
    <cellStyle name="Accent4 105" xfId="16968"/>
    <cellStyle name="Accent4 106" xfId="16969"/>
    <cellStyle name="Accent4 107" xfId="16970"/>
    <cellStyle name="Accent4 108" xfId="16971"/>
    <cellStyle name="Accent4 109" xfId="16972"/>
    <cellStyle name="Accent4 11" xfId="16973"/>
    <cellStyle name="Accent4 110" xfId="16974"/>
    <cellStyle name="Accent4 111" xfId="16975"/>
    <cellStyle name="Accent4 112" xfId="16976"/>
    <cellStyle name="Accent4 113" xfId="16977"/>
    <cellStyle name="Accent4 114" xfId="16978"/>
    <cellStyle name="Accent4 115" xfId="16979"/>
    <cellStyle name="Accent4 116" xfId="16980"/>
    <cellStyle name="Accent4 117" xfId="16981"/>
    <cellStyle name="Accent4 118" xfId="16982"/>
    <cellStyle name="Accent4 119" xfId="16983"/>
    <cellStyle name="Accent4 12" xfId="16984"/>
    <cellStyle name="Accent4 120" xfId="16985"/>
    <cellStyle name="Accent4 121" xfId="16986"/>
    <cellStyle name="Accent4 122" xfId="16987"/>
    <cellStyle name="Accent4 123" xfId="16988"/>
    <cellStyle name="Accent4 124" xfId="16989"/>
    <cellStyle name="Accent4 125" xfId="16990"/>
    <cellStyle name="Accent4 126" xfId="16991"/>
    <cellStyle name="Accent4 127" xfId="16992"/>
    <cellStyle name="Accent4 128" xfId="16993"/>
    <cellStyle name="Accent4 129" xfId="16994"/>
    <cellStyle name="Accent4 13" xfId="16995"/>
    <cellStyle name="Accent4 130" xfId="16996"/>
    <cellStyle name="Accent4 131" xfId="16997"/>
    <cellStyle name="Accent4 132" xfId="16998"/>
    <cellStyle name="Accent4 133" xfId="16999"/>
    <cellStyle name="Accent4 134" xfId="17000"/>
    <cellStyle name="Accent4 135" xfId="17001"/>
    <cellStyle name="Accent4 136" xfId="17002"/>
    <cellStyle name="Accent4 137" xfId="17003"/>
    <cellStyle name="Accent4 138" xfId="17004"/>
    <cellStyle name="Accent4 139" xfId="17005"/>
    <cellStyle name="Accent4 14" xfId="17006"/>
    <cellStyle name="Accent4 140" xfId="17007"/>
    <cellStyle name="Accent4 141" xfId="17008"/>
    <cellStyle name="Accent4 142" xfId="17009"/>
    <cellStyle name="Accent4 143" xfId="17010"/>
    <cellStyle name="Accent4 144" xfId="17011"/>
    <cellStyle name="Accent4 145" xfId="17012"/>
    <cellStyle name="Accent4 146" xfId="17013"/>
    <cellStyle name="Accent4 147" xfId="17014"/>
    <cellStyle name="Accent4 148" xfId="17015"/>
    <cellStyle name="Accent4 149" xfId="17016"/>
    <cellStyle name="Accent4 15" xfId="17017"/>
    <cellStyle name="Accent4 150" xfId="17018"/>
    <cellStyle name="Accent4 151" xfId="17019"/>
    <cellStyle name="Accent4 152" xfId="17020"/>
    <cellStyle name="Accent4 153" xfId="17021"/>
    <cellStyle name="Accent4 154" xfId="17022"/>
    <cellStyle name="Accent4 155" xfId="17023"/>
    <cellStyle name="Accent4 156" xfId="17024"/>
    <cellStyle name="Accent4 157" xfId="17025"/>
    <cellStyle name="Accent4 158" xfId="17026"/>
    <cellStyle name="Accent4 159" xfId="17027"/>
    <cellStyle name="Accent4 16" xfId="17028"/>
    <cellStyle name="Accent4 160" xfId="17029"/>
    <cellStyle name="Accent4 161" xfId="17030"/>
    <cellStyle name="Accent4 162" xfId="17031"/>
    <cellStyle name="Accent4 163" xfId="17032"/>
    <cellStyle name="Accent4 163 2" xfId="21547"/>
    <cellStyle name="Accent4 163 3" xfId="21548"/>
    <cellStyle name="Accent4 163_Note Calc" xfId="27155"/>
    <cellStyle name="Accent4 164" xfId="17033"/>
    <cellStyle name="Accent4 165" xfId="17034"/>
    <cellStyle name="Accent4 166" xfId="17035"/>
    <cellStyle name="Accent4 167" xfId="17036"/>
    <cellStyle name="Accent4 168" xfId="17037"/>
    <cellStyle name="Accent4 169" xfId="17038"/>
    <cellStyle name="Accent4 17" xfId="17039"/>
    <cellStyle name="Accent4 170" xfId="17040"/>
    <cellStyle name="Accent4 171" xfId="17041"/>
    <cellStyle name="Accent4 172" xfId="17042"/>
    <cellStyle name="Accent4 173" xfId="17043"/>
    <cellStyle name="Accent4 174" xfId="17044"/>
    <cellStyle name="Accent4 175" xfId="17045"/>
    <cellStyle name="Accent4 176" xfId="17046"/>
    <cellStyle name="Accent4 177" xfId="17047"/>
    <cellStyle name="Accent4 178" xfId="17048"/>
    <cellStyle name="Accent4 179" xfId="17049"/>
    <cellStyle name="Accent4 18" xfId="17050"/>
    <cellStyle name="Accent4 180" xfId="17051"/>
    <cellStyle name="Accent4 181" xfId="17052"/>
    <cellStyle name="Accent4 182" xfId="17053"/>
    <cellStyle name="Accent4 183" xfId="17054"/>
    <cellStyle name="Accent4 184" xfId="17055"/>
    <cellStyle name="Accent4 185" xfId="17056"/>
    <cellStyle name="Accent4 186" xfId="17057"/>
    <cellStyle name="Accent4 187" xfId="17058"/>
    <cellStyle name="Accent4 188" xfId="17059"/>
    <cellStyle name="Accent4 189" xfId="17060"/>
    <cellStyle name="Accent4 19" xfId="17061"/>
    <cellStyle name="Accent4 190" xfId="17062"/>
    <cellStyle name="Accent4 191" xfId="17063"/>
    <cellStyle name="Accent4 192" xfId="17064"/>
    <cellStyle name="Accent4 193" xfId="17065"/>
    <cellStyle name="Accent4 194" xfId="17066"/>
    <cellStyle name="Accent4 195" xfId="17067"/>
    <cellStyle name="Accent4 196" xfId="17068"/>
    <cellStyle name="Accent4 197" xfId="17069"/>
    <cellStyle name="Accent4 198" xfId="17070"/>
    <cellStyle name="Accent4 199" xfId="17071"/>
    <cellStyle name="Accent4 2" xfId="392"/>
    <cellStyle name="Accent4 2 10" xfId="12120"/>
    <cellStyle name="Accent4 2 11" xfId="17072"/>
    <cellStyle name="Accent4 2 12" xfId="27157"/>
    <cellStyle name="Accent4 2 2" xfId="7833"/>
    <cellStyle name="Accent4 2 2 2" xfId="21549"/>
    <cellStyle name="Accent4 2 2_Note Calc" xfId="27158"/>
    <cellStyle name="Accent4 2 3" xfId="7834"/>
    <cellStyle name="Accent4 2 3 2" xfId="21550"/>
    <cellStyle name="Accent4 2 3_Note Calc" xfId="27159"/>
    <cellStyle name="Accent4 2 4" xfId="7835"/>
    <cellStyle name="Accent4 2 4 2" xfId="21551"/>
    <cellStyle name="Accent4 2 4_Note Calc" xfId="27160"/>
    <cellStyle name="Accent4 2 5" xfId="7836"/>
    <cellStyle name="Accent4 2 6" xfId="7837"/>
    <cellStyle name="Accent4 2 7" xfId="7838"/>
    <cellStyle name="Accent4 2 8" xfId="8304"/>
    <cellStyle name="Accent4 2 9" xfId="8290"/>
    <cellStyle name="Accent4 2_Note Calc" xfId="27156"/>
    <cellStyle name="Accent4 20" xfId="17073"/>
    <cellStyle name="Accent4 200" xfId="17074"/>
    <cellStyle name="Accent4 201" xfId="21833"/>
    <cellStyle name="Accent4 202" xfId="21734"/>
    <cellStyle name="Accent4 203" xfId="21977"/>
    <cellStyle name="Accent4 204" xfId="21944"/>
    <cellStyle name="Accent4 205" xfId="27161"/>
    <cellStyle name="Accent4 21" xfId="17075"/>
    <cellStyle name="Accent4 22" xfId="17076"/>
    <cellStyle name="Accent4 23" xfId="17077"/>
    <cellStyle name="Accent4 24" xfId="17078"/>
    <cellStyle name="Accent4 25" xfId="17079"/>
    <cellStyle name="Accent4 26" xfId="17080"/>
    <cellStyle name="Accent4 27" xfId="17081"/>
    <cellStyle name="Accent4 28" xfId="17082"/>
    <cellStyle name="Accent4 29" xfId="17083"/>
    <cellStyle name="Accent4 3" xfId="7839"/>
    <cellStyle name="Accent4 3 2" xfId="7840"/>
    <cellStyle name="Accent4 3 3" xfId="7841"/>
    <cellStyle name="Accent4 3 4" xfId="7842"/>
    <cellStyle name="Accent4 3 5" xfId="7843"/>
    <cellStyle name="Accent4 3 6" xfId="7844"/>
    <cellStyle name="Accent4 3 7" xfId="7845"/>
    <cellStyle name="Accent4 3 8" xfId="17084"/>
    <cellStyle name="Accent4 3 9" xfId="27162"/>
    <cellStyle name="Accent4 3_Forecast" xfId="22511"/>
    <cellStyle name="Accent4 30" xfId="17085"/>
    <cellStyle name="Accent4 31" xfId="17086"/>
    <cellStyle name="Accent4 32" xfId="17087"/>
    <cellStyle name="Accent4 33" xfId="17088"/>
    <cellStyle name="Accent4 34" xfId="17089"/>
    <cellStyle name="Accent4 35" xfId="17090"/>
    <cellStyle name="Accent4 36" xfId="17091"/>
    <cellStyle name="Accent4 37" xfId="17092"/>
    <cellStyle name="Accent4 38" xfId="17093"/>
    <cellStyle name="Accent4 39" xfId="17094"/>
    <cellStyle name="Accent4 4" xfId="7846"/>
    <cellStyle name="Accent4 4 2" xfId="17095"/>
    <cellStyle name="Accent4 4_Note Calc" xfId="27163"/>
    <cellStyle name="Accent4 40" xfId="17096"/>
    <cellStyle name="Accent4 41" xfId="17097"/>
    <cellStyle name="Accent4 42" xfId="17098"/>
    <cellStyle name="Accent4 43" xfId="17099"/>
    <cellStyle name="Accent4 44" xfId="17100"/>
    <cellStyle name="Accent4 45" xfId="17101"/>
    <cellStyle name="Accent4 46" xfId="17102"/>
    <cellStyle name="Accent4 47" xfId="17103"/>
    <cellStyle name="Accent4 48" xfId="17104"/>
    <cellStyle name="Accent4 49" xfId="17105"/>
    <cellStyle name="Accent4 5" xfId="7847"/>
    <cellStyle name="Accent4 5 2" xfId="17106"/>
    <cellStyle name="Accent4 5_Note Calc" xfId="27164"/>
    <cellStyle name="Accent4 50" xfId="17107"/>
    <cellStyle name="Accent4 51" xfId="17108"/>
    <cellStyle name="Accent4 52" xfId="17109"/>
    <cellStyle name="Accent4 53" xfId="17110"/>
    <cellStyle name="Accent4 54" xfId="17111"/>
    <cellStyle name="Accent4 55" xfId="17112"/>
    <cellStyle name="Accent4 56" xfId="17113"/>
    <cellStyle name="Accent4 57" xfId="17114"/>
    <cellStyle name="Accent4 58" xfId="17115"/>
    <cellStyle name="Accent4 59" xfId="17116"/>
    <cellStyle name="Accent4 6" xfId="7848"/>
    <cellStyle name="Accent4 6 2" xfId="17117"/>
    <cellStyle name="Accent4 6_Note Calc" xfId="27165"/>
    <cellStyle name="Accent4 60" xfId="17118"/>
    <cellStyle name="Accent4 61" xfId="17119"/>
    <cellStyle name="Accent4 62" xfId="17120"/>
    <cellStyle name="Accent4 63" xfId="17121"/>
    <cellStyle name="Accent4 64" xfId="17122"/>
    <cellStyle name="Accent4 65" xfId="17123"/>
    <cellStyle name="Accent4 66" xfId="17124"/>
    <cellStyle name="Accent4 67" xfId="17125"/>
    <cellStyle name="Accent4 68" xfId="17126"/>
    <cellStyle name="Accent4 69" xfId="17127"/>
    <cellStyle name="Accent4 7" xfId="7849"/>
    <cellStyle name="Accent4 7 2" xfId="17128"/>
    <cellStyle name="Accent4 7_Note Calc" xfId="27166"/>
    <cellStyle name="Accent4 70" xfId="17129"/>
    <cellStyle name="Accent4 71" xfId="17130"/>
    <cellStyle name="Accent4 72" xfId="17131"/>
    <cellStyle name="Accent4 73" xfId="17132"/>
    <cellStyle name="Accent4 74" xfId="17133"/>
    <cellStyle name="Accent4 75" xfId="17134"/>
    <cellStyle name="Accent4 76" xfId="17135"/>
    <cellStyle name="Accent4 77" xfId="17136"/>
    <cellStyle name="Accent4 78" xfId="17137"/>
    <cellStyle name="Accent4 79" xfId="17138"/>
    <cellStyle name="Accent4 8" xfId="7850"/>
    <cellStyle name="Accent4 8 2" xfId="17139"/>
    <cellStyle name="Accent4 8_Note Calc" xfId="27167"/>
    <cellStyle name="Accent4 80" xfId="17140"/>
    <cellStyle name="Accent4 81" xfId="17141"/>
    <cellStyle name="Accent4 82" xfId="17142"/>
    <cellStyle name="Accent4 83" xfId="17143"/>
    <cellStyle name="Accent4 84" xfId="17144"/>
    <cellStyle name="Accent4 85" xfId="17145"/>
    <cellStyle name="Accent4 86" xfId="17146"/>
    <cellStyle name="Accent4 87" xfId="17147"/>
    <cellStyle name="Accent4 88" xfId="17148"/>
    <cellStyle name="Accent4 89" xfId="17149"/>
    <cellStyle name="Accent4 9" xfId="7851"/>
    <cellStyle name="Accent4 9 2" xfId="17150"/>
    <cellStyle name="Accent4 9_Note Calc" xfId="27168"/>
    <cellStyle name="Accent4 90" xfId="17151"/>
    <cellStyle name="Accent4 91" xfId="17152"/>
    <cellStyle name="Accent4 92" xfId="17153"/>
    <cellStyle name="Accent4 93" xfId="17154"/>
    <cellStyle name="Accent4 94" xfId="17155"/>
    <cellStyle name="Accent4 95" xfId="17156"/>
    <cellStyle name="Accent4 96" xfId="17157"/>
    <cellStyle name="Accent4 97" xfId="17158"/>
    <cellStyle name="Accent4 98" xfId="17159"/>
    <cellStyle name="Accent4 99" xfId="17160"/>
    <cellStyle name="Accent5" xfId="393" builtinId="45" customBuiltin="1"/>
    <cellStyle name="Accent5 10" xfId="12250"/>
    <cellStyle name="Accent5 100" xfId="17161"/>
    <cellStyle name="Accent5 101" xfId="17162"/>
    <cellStyle name="Accent5 102" xfId="17163"/>
    <cellStyle name="Accent5 103" xfId="17164"/>
    <cellStyle name="Accent5 104" xfId="17165"/>
    <cellStyle name="Accent5 105" xfId="17166"/>
    <cellStyle name="Accent5 106" xfId="17167"/>
    <cellStyle name="Accent5 107" xfId="17168"/>
    <cellStyle name="Accent5 108" xfId="17169"/>
    <cellStyle name="Accent5 109" xfId="17170"/>
    <cellStyle name="Accent5 11" xfId="17171"/>
    <cellStyle name="Accent5 110" xfId="17172"/>
    <cellStyle name="Accent5 111" xfId="17173"/>
    <cellStyle name="Accent5 112" xfId="17174"/>
    <cellStyle name="Accent5 113" xfId="17175"/>
    <cellStyle name="Accent5 114" xfId="17176"/>
    <cellStyle name="Accent5 115" xfId="17177"/>
    <cellStyle name="Accent5 116" xfId="17178"/>
    <cellStyle name="Accent5 117" xfId="17179"/>
    <cellStyle name="Accent5 118" xfId="17180"/>
    <cellStyle name="Accent5 119" xfId="17181"/>
    <cellStyle name="Accent5 12" xfId="17182"/>
    <cellStyle name="Accent5 120" xfId="17183"/>
    <cellStyle name="Accent5 121" xfId="17184"/>
    <cellStyle name="Accent5 122" xfId="17185"/>
    <cellStyle name="Accent5 123" xfId="17186"/>
    <cellStyle name="Accent5 124" xfId="17187"/>
    <cellStyle name="Accent5 125" xfId="17188"/>
    <cellStyle name="Accent5 126" xfId="17189"/>
    <cellStyle name="Accent5 127" xfId="17190"/>
    <cellStyle name="Accent5 128" xfId="17191"/>
    <cellStyle name="Accent5 129" xfId="17192"/>
    <cellStyle name="Accent5 13" xfId="17193"/>
    <cellStyle name="Accent5 130" xfId="17194"/>
    <cellStyle name="Accent5 131" xfId="17195"/>
    <cellStyle name="Accent5 132" xfId="17196"/>
    <cellStyle name="Accent5 133" xfId="17197"/>
    <cellStyle name="Accent5 134" xfId="17198"/>
    <cellStyle name="Accent5 135" xfId="17199"/>
    <cellStyle name="Accent5 136" xfId="17200"/>
    <cellStyle name="Accent5 137" xfId="17201"/>
    <cellStyle name="Accent5 138" xfId="17202"/>
    <cellStyle name="Accent5 139" xfId="17203"/>
    <cellStyle name="Accent5 14" xfId="17204"/>
    <cellStyle name="Accent5 140" xfId="17205"/>
    <cellStyle name="Accent5 141" xfId="17206"/>
    <cellStyle name="Accent5 142" xfId="17207"/>
    <cellStyle name="Accent5 143" xfId="17208"/>
    <cellStyle name="Accent5 144" xfId="17209"/>
    <cellStyle name="Accent5 145" xfId="17210"/>
    <cellStyle name="Accent5 146" xfId="17211"/>
    <cellStyle name="Accent5 147" xfId="17212"/>
    <cellStyle name="Accent5 148" xfId="17213"/>
    <cellStyle name="Accent5 149" xfId="17214"/>
    <cellStyle name="Accent5 15" xfId="17215"/>
    <cellStyle name="Accent5 150" xfId="17216"/>
    <cellStyle name="Accent5 151" xfId="17217"/>
    <cellStyle name="Accent5 152" xfId="17218"/>
    <cellStyle name="Accent5 153" xfId="17219"/>
    <cellStyle name="Accent5 154" xfId="17220"/>
    <cellStyle name="Accent5 155" xfId="17221"/>
    <cellStyle name="Accent5 156" xfId="17222"/>
    <cellStyle name="Accent5 157" xfId="17223"/>
    <cellStyle name="Accent5 158" xfId="17224"/>
    <cellStyle name="Accent5 159" xfId="17225"/>
    <cellStyle name="Accent5 16" xfId="17226"/>
    <cellStyle name="Accent5 160" xfId="17227"/>
    <cellStyle name="Accent5 161" xfId="17228"/>
    <cellStyle name="Accent5 162" xfId="17229"/>
    <cellStyle name="Accent5 163" xfId="17230"/>
    <cellStyle name="Accent5 163 2" xfId="21552"/>
    <cellStyle name="Accent5 163 3" xfId="21553"/>
    <cellStyle name="Accent5 163_Note Calc" xfId="27169"/>
    <cellStyle name="Accent5 164" xfId="17231"/>
    <cellStyle name="Accent5 165" xfId="17232"/>
    <cellStyle name="Accent5 166" xfId="17233"/>
    <cellStyle name="Accent5 167" xfId="17234"/>
    <cellStyle name="Accent5 168" xfId="17235"/>
    <cellStyle name="Accent5 169" xfId="17236"/>
    <cellStyle name="Accent5 17" xfId="17237"/>
    <cellStyle name="Accent5 170" xfId="17238"/>
    <cellStyle name="Accent5 171" xfId="17239"/>
    <cellStyle name="Accent5 172" xfId="17240"/>
    <cellStyle name="Accent5 173" xfId="17241"/>
    <cellStyle name="Accent5 174" xfId="17242"/>
    <cellStyle name="Accent5 175" xfId="17243"/>
    <cellStyle name="Accent5 176" xfId="17244"/>
    <cellStyle name="Accent5 177" xfId="17245"/>
    <cellStyle name="Accent5 178" xfId="17246"/>
    <cellStyle name="Accent5 179" xfId="17247"/>
    <cellStyle name="Accent5 18" xfId="17248"/>
    <cellStyle name="Accent5 180" xfId="17249"/>
    <cellStyle name="Accent5 181" xfId="17250"/>
    <cellStyle name="Accent5 182" xfId="17251"/>
    <cellStyle name="Accent5 183" xfId="17252"/>
    <cellStyle name="Accent5 184" xfId="17253"/>
    <cellStyle name="Accent5 185" xfId="17254"/>
    <cellStyle name="Accent5 186" xfId="17255"/>
    <cellStyle name="Accent5 187" xfId="17256"/>
    <cellStyle name="Accent5 188" xfId="17257"/>
    <cellStyle name="Accent5 189" xfId="17258"/>
    <cellStyle name="Accent5 19" xfId="17259"/>
    <cellStyle name="Accent5 190" xfId="17260"/>
    <cellStyle name="Accent5 191" xfId="17261"/>
    <cellStyle name="Accent5 192" xfId="17262"/>
    <cellStyle name="Accent5 193" xfId="17263"/>
    <cellStyle name="Accent5 194" xfId="17264"/>
    <cellStyle name="Accent5 195" xfId="17265"/>
    <cellStyle name="Accent5 196" xfId="17266"/>
    <cellStyle name="Accent5 197" xfId="17267"/>
    <cellStyle name="Accent5 198" xfId="17268"/>
    <cellStyle name="Accent5 199" xfId="17269"/>
    <cellStyle name="Accent5 2" xfId="394"/>
    <cellStyle name="Accent5 2 10" xfId="12121"/>
    <cellStyle name="Accent5 2 11" xfId="17270"/>
    <cellStyle name="Accent5 2 12" xfId="27171"/>
    <cellStyle name="Accent5 2 2" xfId="7852"/>
    <cellStyle name="Accent5 2 2 2" xfId="21554"/>
    <cellStyle name="Accent5 2 2_Note Calc" xfId="27172"/>
    <cellStyle name="Accent5 2 3" xfId="7853"/>
    <cellStyle name="Accent5 2 3 2" xfId="21555"/>
    <cellStyle name="Accent5 2 3_Note Calc" xfId="27173"/>
    <cellStyle name="Accent5 2 4" xfId="7854"/>
    <cellStyle name="Accent5 2 4 2" xfId="21556"/>
    <cellStyle name="Accent5 2 4_Note Calc" xfId="27174"/>
    <cellStyle name="Accent5 2 5" xfId="7855"/>
    <cellStyle name="Accent5 2 6" xfId="7856"/>
    <cellStyle name="Accent5 2 7" xfId="7857"/>
    <cellStyle name="Accent5 2 8" xfId="8306"/>
    <cellStyle name="Accent5 2 9" xfId="8288"/>
    <cellStyle name="Accent5 2_Note Calc" xfId="27170"/>
    <cellStyle name="Accent5 20" xfId="17271"/>
    <cellStyle name="Accent5 200" xfId="17272"/>
    <cellStyle name="Accent5 201" xfId="21834"/>
    <cellStyle name="Accent5 202" xfId="21738"/>
    <cellStyle name="Accent5 203" xfId="21981"/>
    <cellStyle name="Accent5 204" xfId="21889"/>
    <cellStyle name="Accent5 205" xfId="27175"/>
    <cellStyle name="Accent5 21" xfId="17273"/>
    <cellStyle name="Accent5 22" xfId="17274"/>
    <cellStyle name="Accent5 23" xfId="17275"/>
    <cellStyle name="Accent5 24" xfId="17276"/>
    <cellStyle name="Accent5 25" xfId="17277"/>
    <cellStyle name="Accent5 26" xfId="17278"/>
    <cellStyle name="Accent5 27" xfId="17279"/>
    <cellStyle name="Accent5 28" xfId="17280"/>
    <cellStyle name="Accent5 29" xfId="17281"/>
    <cellStyle name="Accent5 3" xfId="7858"/>
    <cellStyle name="Accent5 3 2" xfId="7859"/>
    <cellStyle name="Accent5 3 3" xfId="7860"/>
    <cellStyle name="Accent5 3 4" xfId="7861"/>
    <cellStyle name="Accent5 3 5" xfId="7862"/>
    <cellStyle name="Accent5 3 6" xfId="7863"/>
    <cellStyle name="Accent5 3 7" xfId="7864"/>
    <cellStyle name="Accent5 3 8" xfId="17282"/>
    <cellStyle name="Accent5 3 9" xfId="27176"/>
    <cellStyle name="Accent5 3_Forecast" xfId="22512"/>
    <cellStyle name="Accent5 30" xfId="17283"/>
    <cellStyle name="Accent5 31" xfId="17284"/>
    <cellStyle name="Accent5 32" xfId="17285"/>
    <cellStyle name="Accent5 33" xfId="17286"/>
    <cellStyle name="Accent5 34" xfId="17287"/>
    <cellStyle name="Accent5 35" xfId="17288"/>
    <cellStyle name="Accent5 36" xfId="17289"/>
    <cellStyle name="Accent5 37" xfId="17290"/>
    <cellStyle name="Accent5 38" xfId="17291"/>
    <cellStyle name="Accent5 39" xfId="17292"/>
    <cellStyle name="Accent5 4" xfId="7865"/>
    <cellStyle name="Accent5 4 2" xfId="17293"/>
    <cellStyle name="Accent5 4_Note Calc" xfId="27177"/>
    <cellStyle name="Accent5 40" xfId="17294"/>
    <cellStyle name="Accent5 41" xfId="17295"/>
    <cellStyle name="Accent5 42" xfId="17296"/>
    <cellStyle name="Accent5 43" xfId="17297"/>
    <cellStyle name="Accent5 44" xfId="17298"/>
    <cellStyle name="Accent5 45" xfId="17299"/>
    <cellStyle name="Accent5 46" xfId="17300"/>
    <cellStyle name="Accent5 47" xfId="17301"/>
    <cellStyle name="Accent5 48" xfId="17302"/>
    <cellStyle name="Accent5 49" xfId="17303"/>
    <cellStyle name="Accent5 5" xfId="7866"/>
    <cellStyle name="Accent5 5 2" xfId="17304"/>
    <cellStyle name="Accent5 5_Note Calc" xfId="27178"/>
    <cellStyle name="Accent5 50" xfId="17305"/>
    <cellStyle name="Accent5 51" xfId="17306"/>
    <cellStyle name="Accent5 52" xfId="17307"/>
    <cellStyle name="Accent5 53" xfId="17308"/>
    <cellStyle name="Accent5 54" xfId="17309"/>
    <cellStyle name="Accent5 55" xfId="17310"/>
    <cellStyle name="Accent5 56" xfId="17311"/>
    <cellStyle name="Accent5 57" xfId="17312"/>
    <cellStyle name="Accent5 58" xfId="17313"/>
    <cellStyle name="Accent5 59" xfId="17314"/>
    <cellStyle name="Accent5 6" xfId="7867"/>
    <cellStyle name="Accent5 6 2" xfId="17315"/>
    <cellStyle name="Accent5 6_Note Calc" xfId="27179"/>
    <cellStyle name="Accent5 60" xfId="17316"/>
    <cellStyle name="Accent5 61" xfId="17317"/>
    <cellStyle name="Accent5 62" xfId="17318"/>
    <cellStyle name="Accent5 63" xfId="17319"/>
    <cellStyle name="Accent5 64" xfId="17320"/>
    <cellStyle name="Accent5 65" xfId="17321"/>
    <cellStyle name="Accent5 66" xfId="17322"/>
    <cellStyle name="Accent5 67" xfId="17323"/>
    <cellStyle name="Accent5 68" xfId="17324"/>
    <cellStyle name="Accent5 69" xfId="17325"/>
    <cellStyle name="Accent5 7" xfId="7868"/>
    <cellStyle name="Accent5 7 2" xfId="17326"/>
    <cellStyle name="Accent5 7_Note Calc" xfId="27180"/>
    <cellStyle name="Accent5 70" xfId="17327"/>
    <cellStyle name="Accent5 71" xfId="17328"/>
    <cellStyle name="Accent5 72" xfId="17329"/>
    <cellStyle name="Accent5 73" xfId="17330"/>
    <cellStyle name="Accent5 74" xfId="17331"/>
    <cellStyle name="Accent5 75" xfId="17332"/>
    <cellStyle name="Accent5 76" xfId="17333"/>
    <cellStyle name="Accent5 77" xfId="17334"/>
    <cellStyle name="Accent5 78" xfId="17335"/>
    <cellStyle name="Accent5 79" xfId="17336"/>
    <cellStyle name="Accent5 8" xfId="7869"/>
    <cellStyle name="Accent5 8 2" xfId="17337"/>
    <cellStyle name="Accent5 8_Note Calc" xfId="27181"/>
    <cellStyle name="Accent5 80" xfId="17338"/>
    <cellStyle name="Accent5 81" xfId="17339"/>
    <cellStyle name="Accent5 82" xfId="17340"/>
    <cellStyle name="Accent5 83" xfId="17341"/>
    <cellStyle name="Accent5 84" xfId="17342"/>
    <cellStyle name="Accent5 85" xfId="17343"/>
    <cellStyle name="Accent5 86" xfId="17344"/>
    <cellStyle name="Accent5 87" xfId="17345"/>
    <cellStyle name="Accent5 88" xfId="17346"/>
    <cellStyle name="Accent5 89" xfId="17347"/>
    <cellStyle name="Accent5 9" xfId="7870"/>
    <cellStyle name="Accent5 9 2" xfId="17348"/>
    <cellStyle name="Accent5 9_Note Calc" xfId="27182"/>
    <cellStyle name="Accent5 90" xfId="17349"/>
    <cellStyle name="Accent5 91" xfId="17350"/>
    <cellStyle name="Accent5 92" xfId="17351"/>
    <cellStyle name="Accent5 93" xfId="17352"/>
    <cellStyle name="Accent5 94" xfId="17353"/>
    <cellStyle name="Accent5 95" xfId="17354"/>
    <cellStyle name="Accent5 96" xfId="17355"/>
    <cellStyle name="Accent5 97" xfId="17356"/>
    <cellStyle name="Accent5 98" xfId="17357"/>
    <cellStyle name="Accent5 99" xfId="17358"/>
    <cellStyle name="Accent6" xfId="395" builtinId="49" customBuiltin="1"/>
    <cellStyle name="Accent6 10" xfId="12254"/>
    <cellStyle name="Accent6 100" xfId="17359"/>
    <cellStyle name="Accent6 101" xfId="17360"/>
    <cellStyle name="Accent6 102" xfId="17361"/>
    <cellStyle name="Accent6 103" xfId="17362"/>
    <cellStyle name="Accent6 104" xfId="17363"/>
    <cellStyle name="Accent6 105" xfId="17364"/>
    <cellStyle name="Accent6 106" xfId="17365"/>
    <cellStyle name="Accent6 107" xfId="17366"/>
    <cellStyle name="Accent6 108" xfId="17367"/>
    <cellStyle name="Accent6 109" xfId="17368"/>
    <cellStyle name="Accent6 11" xfId="17369"/>
    <cellStyle name="Accent6 110" xfId="17370"/>
    <cellStyle name="Accent6 111" xfId="17371"/>
    <cellStyle name="Accent6 112" xfId="17372"/>
    <cellStyle name="Accent6 113" xfId="17373"/>
    <cellStyle name="Accent6 114" xfId="17374"/>
    <cellStyle name="Accent6 115" xfId="17375"/>
    <cellStyle name="Accent6 116" xfId="17376"/>
    <cellStyle name="Accent6 117" xfId="17377"/>
    <cellStyle name="Accent6 118" xfId="17378"/>
    <cellStyle name="Accent6 119" xfId="17379"/>
    <cellStyle name="Accent6 12" xfId="17380"/>
    <cellStyle name="Accent6 120" xfId="17381"/>
    <cellStyle name="Accent6 121" xfId="17382"/>
    <cellStyle name="Accent6 122" xfId="17383"/>
    <cellStyle name="Accent6 123" xfId="17384"/>
    <cellStyle name="Accent6 124" xfId="17385"/>
    <cellStyle name="Accent6 125" xfId="17386"/>
    <cellStyle name="Accent6 126" xfId="17387"/>
    <cellStyle name="Accent6 127" xfId="17388"/>
    <cellStyle name="Accent6 128" xfId="17389"/>
    <cellStyle name="Accent6 129" xfId="17390"/>
    <cellStyle name="Accent6 13" xfId="17391"/>
    <cellStyle name="Accent6 130" xfId="17392"/>
    <cellStyle name="Accent6 131" xfId="17393"/>
    <cellStyle name="Accent6 132" xfId="17394"/>
    <cellStyle name="Accent6 133" xfId="17395"/>
    <cellStyle name="Accent6 134" xfId="17396"/>
    <cellStyle name="Accent6 135" xfId="17397"/>
    <cellStyle name="Accent6 136" xfId="17398"/>
    <cellStyle name="Accent6 137" xfId="17399"/>
    <cellStyle name="Accent6 138" xfId="17400"/>
    <cellStyle name="Accent6 139" xfId="17401"/>
    <cellStyle name="Accent6 14" xfId="17402"/>
    <cellStyle name="Accent6 140" xfId="17403"/>
    <cellStyle name="Accent6 141" xfId="17404"/>
    <cellStyle name="Accent6 142" xfId="17405"/>
    <cellStyle name="Accent6 143" xfId="17406"/>
    <cellStyle name="Accent6 144" xfId="17407"/>
    <cellStyle name="Accent6 145" xfId="17408"/>
    <cellStyle name="Accent6 146" xfId="17409"/>
    <cellStyle name="Accent6 147" xfId="17410"/>
    <cellStyle name="Accent6 148" xfId="17411"/>
    <cellStyle name="Accent6 149" xfId="17412"/>
    <cellStyle name="Accent6 15" xfId="17413"/>
    <cellStyle name="Accent6 150" xfId="17414"/>
    <cellStyle name="Accent6 151" xfId="17415"/>
    <cellStyle name="Accent6 152" xfId="17416"/>
    <cellStyle name="Accent6 153" xfId="17417"/>
    <cellStyle name="Accent6 154" xfId="17418"/>
    <cellStyle name="Accent6 155" xfId="17419"/>
    <cellStyle name="Accent6 156" xfId="17420"/>
    <cellStyle name="Accent6 157" xfId="17421"/>
    <cellStyle name="Accent6 158" xfId="17422"/>
    <cellStyle name="Accent6 159" xfId="17423"/>
    <cellStyle name="Accent6 16" xfId="17424"/>
    <cellStyle name="Accent6 160" xfId="17425"/>
    <cellStyle name="Accent6 161" xfId="17426"/>
    <cellStyle name="Accent6 162" xfId="17427"/>
    <cellStyle name="Accent6 163" xfId="17428"/>
    <cellStyle name="Accent6 163 2" xfId="21557"/>
    <cellStyle name="Accent6 163 3" xfId="21558"/>
    <cellStyle name="Accent6 163_Note Calc" xfId="27183"/>
    <cellStyle name="Accent6 164" xfId="17429"/>
    <cellStyle name="Accent6 165" xfId="17430"/>
    <cellStyle name="Accent6 166" xfId="17431"/>
    <cellStyle name="Accent6 167" xfId="17432"/>
    <cellStyle name="Accent6 168" xfId="17433"/>
    <cellStyle name="Accent6 169" xfId="17434"/>
    <cellStyle name="Accent6 17" xfId="17435"/>
    <cellStyle name="Accent6 170" xfId="17436"/>
    <cellStyle name="Accent6 171" xfId="17437"/>
    <cellStyle name="Accent6 172" xfId="17438"/>
    <cellStyle name="Accent6 173" xfId="17439"/>
    <cellStyle name="Accent6 174" xfId="17440"/>
    <cellStyle name="Accent6 175" xfId="17441"/>
    <cellStyle name="Accent6 176" xfId="17442"/>
    <cellStyle name="Accent6 177" xfId="17443"/>
    <cellStyle name="Accent6 178" xfId="17444"/>
    <cellStyle name="Accent6 179" xfId="17445"/>
    <cellStyle name="Accent6 18" xfId="17446"/>
    <cellStyle name="Accent6 180" xfId="17447"/>
    <cellStyle name="Accent6 181" xfId="17448"/>
    <cellStyle name="Accent6 182" xfId="17449"/>
    <cellStyle name="Accent6 183" xfId="17450"/>
    <cellStyle name="Accent6 184" xfId="17451"/>
    <cellStyle name="Accent6 185" xfId="17452"/>
    <cellStyle name="Accent6 186" xfId="17453"/>
    <cellStyle name="Accent6 187" xfId="17454"/>
    <cellStyle name="Accent6 188" xfId="17455"/>
    <cellStyle name="Accent6 189" xfId="17456"/>
    <cellStyle name="Accent6 19" xfId="17457"/>
    <cellStyle name="Accent6 190" xfId="17458"/>
    <cellStyle name="Accent6 191" xfId="17459"/>
    <cellStyle name="Accent6 192" xfId="17460"/>
    <cellStyle name="Accent6 193" xfId="17461"/>
    <cellStyle name="Accent6 194" xfId="17462"/>
    <cellStyle name="Accent6 195" xfId="17463"/>
    <cellStyle name="Accent6 196" xfId="17464"/>
    <cellStyle name="Accent6 197" xfId="17465"/>
    <cellStyle name="Accent6 198" xfId="17466"/>
    <cellStyle name="Accent6 199" xfId="17467"/>
    <cellStyle name="Accent6 2" xfId="396"/>
    <cellStyle name="Accent6 2 10" xfId="12122"/>
    <cellStyle name="Accent6 2 11" xfId="17468"/>
    <cellStyle name="Accent6 2 12" xfId="27185"/>
    <cellStyle name="Accent6 2 2" xfId="7871"/>
    <cellStyle name="Accent6 2 2 2" xfId="21559"/>
    <cellStyle name="Accent6 2 2_Note Calc" xfId="27186"/>
    <cellStyle name="Accent6 2 3" xfId="7872"/>
    <cellStyle name="Accent6 2 3 2" xfId="21560"/>
    <cellStyle name="Accent6 2 3_Note Calc" xfId="27187"/>
    <cellStyle name="Accent6 2 4" xfId="7873"/>
    <cellStyle name="Accent6 2 4 2" xfId="21561"/>
    <cellStyle name="Accent6 2 4_Note Calc" xfId="27188"/>
    <cellStyle name="Accent6 2 5" xfId="7874"/>
    <cellStyle name="Accent6 2 6" xfId="7875"/>
    <cellStyle name="Accent6 2 7" xfId="7876"/>
    <cellStyle name="Accent6 2 8" xfId="8308"/>
    <cellStyle name="Accent6 2 9" xfId="8286"/>
    <cellStyle name="Accent6 2_Note Calc" xfId="27184"/>
    <cellStyle name="Accent6 20" xfId="17469"/>
    <cellStyle name="Accent6 200" xfId="17470"/>
    <cellStyle name="Accent6 201" xfId="21835"/>
    <cellStyle name="Accent6 202" xfId="21742"/>
    <cellStyle name="Accent6 203" xfId="21985"/>
    <cellStyle name="Accent6 204" xfId="21885"/>
    <cellStyle name="Accent6 205" xfId="27189"/>
    <cellStyle name="Accent6 21" xfId="17471"/>
    <cellStyle name="Accent6 22" xfId="17472"/>
    <cellStyle name="Accent6 23" xfId="17473"/>
    <cellStyle name="Accent6 24" xfId="17474"/>
    <cellStyle name="Accent6 25" xfId="17475"/>
    <cellStyle name="Accent6 26" xfId="17476"/>
    <cellStyle name="Accent6 27" xfId="17477"/>
    <cellStyle name="Accent6 28" xfId="17478"/>
    <cellStyle name="Accent6 29" xfId="17479"/>
    <cellStyle name="Accent6 3" xfId="7877"/>
    <cellStyle name="Accent6 3 2" xfId="7878"/>
    <cellStyle name="Accent6 3 3" xfId="7879"/>
    <cellStyle name="Accent6 3 4" xfId="7880"/>
    <cellStyle name="Accent6 3 5" xfId="7881"/>
    <cellStyle name="Accent6 3 6" xfId="7882"/>
    <cellStyle name="Accent6 3 7" xfId="7883"/>
    <cellStyle name="Accent6 3 8" xfId="17480"/>
    <cellStyle name="Accent6 3 9" xfId="27190"/>
    <cellStyle name="Accent6 3_Forecast" xfId="22513"/>
    <cellStyle name="Accent6 30" xfId="17481"/>
    <cellStyle name="Accent6 31" xfId="17482"/>
    <cellStyle name="Accent6 32" xfId="17483"/>
    <cellStyle name="Accent6 33" xfId="17484"/>
    <cellStyle name="Accent6 34" xfId="17485"/>
    <cellStyle name="Accent6 35" xfId="17486"/>
    <cellStyle name="Accent6 36" xfId="17487"/>
    <cellStyle name="Accent6 37" xfId="17488"/>
    <cellStyle name="Accent6 38" xfId="17489"/>
    <cellStyle name="Accent6 39" xfId="17490"/>
    <cellStyle name="Accent6 4" xfId="7884"/>
    <cellStyle name="Accent6 4 2" xfId="17491"/>
    <cellStyle name="Accent6 4_Note Calc" xfId="27191"/>
    <cellStyle name="Accent6 40" xfId="17492"/>
    <cellStyle name="Accent6 41" xfId="17493"/>
    <cellStyle name="Accent6 42" xfId="17494"/>
    <cellStyle name="Accent6 43" xfId="17495"/>
    <cellStyle name="Accent6 44" xfId="17496"/>
    <cellStyle name="Accent6 45" xfId="17497"/>
    <cellStyle name="Accent6 46" xfId="17498"/>
    <cellStyle name="Accent6 47" xfId="17499"/>
    <cellStyle name="Accent6 48" xfId="17500"/>
    <cellStyle name="Accent6 49" xfId="17501"/>
    <cellStyle name="Accent6 5" xfId="7885"/>
    <cellStyle name="Accent6 5 2" xfId="17502"/>
    <cellStyle name="Accent6 5_Note Calc" xfId="27192"/>
    <cellStyle name="Accent6 50" xfId="17503"/>
    <cellStyle name="Accent6 51" xfId="17504"/>
    <cellStyle name="Accent6 52" xfId="17505"/>
    <cellStyle name="Accent6 53" xfId="17506"/>
    <cellStyle name="Accent6 54" xfId="17507"/>
    <cellStyle name="Accent6 55" xfId="17508"/>
    <cellStyle name="Accent6 56" xfId="17509"/>
    <cellStyle name="Accent6 57" xfId="17510"/>
    <cellStyle name="Accent6 58" xfId="17511"/>
    <cellStyle name="Accent6 59" xfId="17512"/>
    <cellStyle name="Accent6 6" xfId="7886"/>
    <cellStyle name="Accent6 6 2" xfId="17513"/>
    <cellStyle name="Accent6 6_Note Calc" xfId="27193"/>
    <cellStyle name="Accent6 60" xfId="17514"/>
    <cellStyle name="Accent6 61" xfId="17515"/>
    <cellStyle name="Accent6 62" xfId="17516"/>
    <cellStyle name="Accent6 63" xfId="17517"/>
    <cellStyle name="Accent6 64" xfId="17518"/>
    <cellStyle name="Accent6 65" xfId="17519"/>
    <cellStyle name="Accent6 66" xfId="17520"/>
    <cellStyle name="Accent6 67" xfId="17521"/>
    <cellStyle name="Accent6 68" xfId="17522"/>
    <cellStyle name="Accent6 69" xfId="17523"/>
    <cellStyle name="Accent6 7" xfId="7887"/>
    <cellStyle name="Accent6 7 2" xfId="17524"/>
    <cellStyle name="Accent6 7_Note Calc" xfId="27194"/>
    <cellStyle name="Accent6 70" xfId="17525"/>
    <cellStyle name="Accent6 71" xfId="17526"/>
    <cellStyle name="Accent6 72" xfId="17527"/>
    <cellStyle name="Accent6 73" xfId="17528"/>
    <cellStyle name="Accent6 74" xfId="17529"/>
    <cellStyle name="Accent6 75" xfId="17530"/>
    <cellStyle name="Accent6 76" xfId="17531"/>
    <cellStyle name="Accent6 77" xfId="17532"/>
    <cellStyle name="Accent6 78" xfId="17533"/>
    <cellStyle name="Accent6 79" xfId="17534"/>
    <cellStyle name="Accent6 8" xfId="7888"/>
    <cellStyle name="Accent6 8 2" xfId="17535"/>
    <cellStyle name="Accent6 8_Note Calc" xfId="27195"/>
    <cellStyle name="Accent6 80" xfId="17536"/>
    <cellStyle name="Accent6 81" xfId="17537"/>
    <cellStyle name="Accent6 82" xfId="17538"/>
    <cellStyle name="Accent6 83" xfId="17539"/>
    <cellStyle name="Accent6 84" xfId="17540"/>
    <cellStyle name="Accent6 85" xfId="17541"/>
    <cellStyle name="Accent6 86" xfId="17542"/>
    <cellStyle name="Accent6 87" xfId="17543"/>
    <cellStyle name="Accent6 88" xfId="17544"/>
    <cellStyle name="Accent6 89" xfId="17545"/>
    <cellStyle name="Accent6 9" xfId="7889"/>
    <cellStyle name="Accent6 9 2" xfId="17546"/>
    <cellStyle name="Accent6 9_Note Calc" xfId="27196"/>
    <cellStyle name="Accent6 90" xfId="17547"/>
    <cellStyle name="Accent6 91" xfId="17548"/>
    <cellStyle name="Accent6 92" xfId="17549"/>
    <cellStyle name="Accent6 93" xfId="17550"/>
    <cellStyle name="Accent6 94" xfId="17551"/>
    <cellStyle name="Accent6 95" xfId="17552"/>
    <cellStyle name="Accent6 96" xfId="17553"/>
    <cellStyle name="Accent6 97" xfId="17554"/>
    <cellStyle name="Accent6 98" xfId="17555"/>
    <cellStyle name="Accent6 99" xfId="17556"/>
    <cellStyle name="Bad" xfId="397" builtinId="27" customBuiltin="1"/>
    <cellStyle name="Bad 10" xfId="12223"/>
    <cellStyle name="Bad 100" xfId="17557"/>
    <cellStyle name="Bad 101" xfId="17558"/>
    <cellStyle name="Bad 102" xfId="17559"/>
    <cellStyle name="Bad 103" xfId="17560"/>
    <cellStyle name="Bad 104" xfId="17561"/>
    <cellStyle name="Bad 105" xfId="17562"/>
    <cellStyle name="Bad 106" xfId="17563"/>
    <cellStyle name="Bad 107" xfId="17564"/>
    <cellStyle name="Bad 108" xfId="17565"/>
    <cellStyle name="Bad 109" xfId="17566"/>
    <cellStyle name="Bad 11" xfId="17567"/>
    <cellStyle name="Bad 110" xfId="17568"/>
    <cellStyle name="Bad 111" xfId="17569"/>
    <cellStyle name="Bad 112" xfId="17570"/>
    <cellStyle name="Bad 113" xfId="17571"/>
    <cellStyle name="Bad 114" xfId="17572"/>
    <cellStyle name="Bad 115" xfId="17573"/>
    <cellStyle name="Bad 116" xfId="17574"/>
    <cellStyle name="Bad 117" xfId="17575"/>
    <cellStyle name="Bad 118" xfId="17576"/>
    <cellStyle name="Bad 119" xfId="17577"/>
    <cellStyle name="Bad 12" xfId="17578"/>
    <cellStyle name="Bad 120" xfId="17579"/>
    <cellStyle name="Bad 121" xfId="17580"/>
    <cellStyle name="Bad 122" xfId="17581"/>
    <cellStyle name="Bad 123" xfId="17582"/>
    <cellStyle name="Bad 124" xfId="17583"/>
    <cellStyle name="Bad 125" xfId="17584"/>
    <cellStyle name="Bad 126" xfId="17585"/>
    <cellStyle name="Bad 127" xfId="17586"/>
    <cellStyle name="Bad 128" xfId="17587"/>
    <cellStyle name="Bad 129" xfId="17588"/>
    <cellStyle name="Bad 13" xfId="17589"/>
    <cellStyle name="Bad 130" xfId="17590"/>
    <cellStyle name="Bad 131" xfId="17591"/>
    <cellStyle name="Bad 132" xfId="17592"/>
    <cellStyle name="Bad 133" xfId="17593"/>
    <cellStyle name="Bad 134" xfId="17594"/>
    <cellStyle name="Bad 135" xfId="17595"/>
    <cellStyle name="Bad 136" xfId="17596"/>
    <cellStyle name="Bad 137" xfId="17597"/>
    <cellStyle name="Bad 138" xfId="17598"/>
    <cellStyle name="Bad 139" xfId="17599"/>
    <cellStyle name="Bad 14" xfId="17600"/>
    <cellStyle name="Bad 140" xfId="17601"/>
    <cellStyle name="Bad 141" xfId="17602"/>
    <cellStyle name="Bad 142" xfId="17603"/>
    <cellStyle name="Bad 143" xfId="17604"/>
    <cellStyle name="Bad 144" xfId="17605"/>
    <cellStyle name="Bad 145" xfId="17606"/>
    <cellStyle name="Bad 146" xfId="17607"/>
    <cellStyle name="Bad 147" xfId="17608"/>
    <cellStyle name="Bad 148" xfId="17609"/>
    <cellStyle name="Bad 149" xfId="17610"/>
    <cellStyle name="Bad 15" xfId="17611"/>
    <cellStyle name="Bad 150" xfId="17612"/>
    <cellStyle name="Bad 151" xfId="17613"/>
    <cellStyle name="Bad 152" xfId="17614"/>
    <cellStyle name="Bad 153" xfId="17615"/>
    <cellStyle name="Bad 154" xfId="17616"/>
    <cellStyle name="Bad 155" xfId="17617"/>
    <cellStyle name="Bad 156" xfId="17618"/>
    <cellStyle name="Bad 157" xfId="17619"/>
    <cellStyle name="Bad 158" xfId="17620"/>
    <cellStyle name="Bad 159" xfId="17621"/>
    <cellStyle name="Bad 16" xfId="17622"/>
    <cellStyle name="Bad 160" xfId="17623"/>
    <cellStyle name="Bad 161" xfId="17624"/>
    <cellStyle name="Bad 162" xfId="17625"/>
    <cellStyle name="Bad 163" xfId="17626"/>
    <cellStyle name="Bad 163 2" xfId="21562"/>
    <cellStyle name="Bad 163 3" xfId="21563"/>
    <cellStyle name="Bad 163_Note Calc" xfId="27197"/>
    <cellStyle name="Bad 164" xfId="17627"/>
    <cellStyle name="Bad 165" xfId="17628"/>
    <cellStyle name="Bad 166" xfId="17629"/>
    <cellStyle name="Bad 167" xfId="17630"/>
    <cellStyle name="Bad 168" xfId="17631"/>
    <cellStyle name="Bad 169" xfId="17632"/>
    <cellStyle name="Bad 17" xfId="17633"/>
    <cellStyle name="Bad 170" xfId="17634"/>
    <cellStyle name="Bad 171" xfId="17635"/>
    <cellStyle name="Bad 172" xfId="17636"/>
    <cellStyle name="Bad 173" xfId="17637"/>
    <cellStyle name="Bad 174" xfId="17638"/>
    <cellStyle name="Bad 175" xfId="17639"/>
    <cellStyle name="Bad 176" xfId="17640"/>
    <cellStyle name="Bad 177" xfId="17641"/>
    <cellStyle name="Bad 178" xfId="17642"/>
    <cellStyle name="Bad 179" xfId="17643"/>
    <cellStyle name="Bad 18" xfId="17644"/>
    <cellStyle name="Bad 180" xfId="17645"/>
    <cellStyle name="Bad 181" xfId="17646"/>
    <cellStyle name="Bad 182" xfId="17647"/>
    <cellStyle name="Bad 183" xfId="17648"/>
    <cellStyle name="Bad 184" xfId="17649"/>
    <cellStyle name="Bad 185" xfId="17650"/>
    <cellStyle name="Bad 186" xfId="17651"/>
    <cellStyle name="Bad 187" xfId="17652"/>
    <cellStyle name="Bad 188" xfId="17653"/>
    <cellStyle name="Bad 189" xfId="17654"/>
    <cellStyle name="Bad 19" xfId="17655"/>
    <cellStyle name="Bad 190" xfId="17656"/>
    <cellStyle name="Bad 191" xfId="17657"/>
    <cellStyle name="Bad 192" xfId="17658"/>
    <cellStyle name="Bad 193" xfId="17659"/>
    <cellStyle name="Bad 194" xfId="17660"/>
    <cellStyle name="Bad 195" xfId="17661"/>
    <cellStyle name="Bad 196" xfId="17662"/>
    <cellStyle name="Bad 197" xfId="17663"/>
    <cellStyle name="Bad 198" xfId="17664"/>
    <cellStyle name="Bad 199" xfId="17665"/>
    <cellStyle name="Bad 2" xfId="398"/>
    <cellStyle name="Bad 2 10" xfId="12123"/>
    <cellStyle name="Bad 2 11" xfId="17666"/>
    <cellStyle name="Bad 2 12" xfId="27199"/>
    <cellStyle name="Bad 2 2" xfId="7890"/>
    <cellStyle name="Bad 2 2 2" xfId="21564"/>
    <cellStyle name="Bad 2 2_Note Calc" xfId="27200"/>
    <cellStyle name="Bad 2 3" xfId="7891"/>
    <cellStyle name="Bad 2 3 2" xfId="21565"/>
    <cellStyle name="Bad 2 3_Note Calc" xfId="27201"/>
    <cellStyle name="Bad 2 4" xfId="7892"/>
    <cellStyle name="Bad 2 4 2" xfId="21566"/>
    <cellStyle name="Bad 2 4_Note Calc" xfId="27202"/>
    <cellStyle name="Bad 2 5" xfId="7893"/>
    <cellStyle name="Bad 2 6" xfId="7894"/>
    <cellStyle name="Bad 2 7" xfId="7895"/>
    <cellStyle name="Bad 2 8" xfId="8313"/>
    <cellStyle name="Bad 2 9" xfId="8269"/>
    <cellStyle name="Bad 2_Note Calc" xfId="27198"/>
    <cellStyle name="Bad 20" xfId="17667"/>
    <cellStyle name="Bad 200" xfId="17668"/>
    <cellStyle name="Bad 201" xfId="21836"/>
    <cellStyle name="Bad 202" xfId="21711"/>
    <cellStyle name="Bad 203" xfId="21954"/>
    <cellStyle name="Bad 204" xfId="21914"/>
    <cellStyle name="Bad 205" xfId="27203"/>
    <cellStyle name="Bad 21" xfId="17669"/>
    <cellStyle name="Bad 22" xfId="17670"/>
    <cellStyle name="Bad 23" xfId="17671"/>
    <cellStyle name="Bad 24" xfId="17672"/>
    <cellStyle name="Bad 25" xfId="17673"/>
    <cellStyle name="Bad 26" xfId="17674"/>
    <cellStyle name="Bad 27" xfId="17675"/>
    <cellStyle name="Bad 28" xfId="17676"/>
    <cellStyle name="Bad 29" xfId="17677"/>
    <cellStyle name="Bad 3" xfId="7896"/>
    <cellStyle name="Bad 3 2" xfId="7897"/>
    <cellStyle name="Bad 3 3" xfId="7898"/>
    <cellStyle name="Bad 3 4" xfId="7899"/>
    <cellStyle name="Bad 3 5" xfId="7900"/>
    <cellStyle name="Bad 3 6" xfId="7901"/>
    <cellStyle name="Bad 3 7" xfId="7902"/>
    <cellStyle name="Bad 3 8" xfId="17678"/>
    <cellStyle name="Bad 3 9" xfId="27204"/>
    <cellStyle name="Bad 3_Forecast" xfId="22514"/>
    <cellStyle name="Bad 30" xfId="17679"/>
    <cellStyle name="Bad 31" xfId="17680"/>
    <cellStyle name="Bad 32" xfId="17681"/>
    <cellStyle name="Bad 33" xfId="17682"/>
    <cellStyle name="Bad 34" xfId="17683"/>
    <cellStyle name="Bad 35" xfId="17684"/>
    <cellStyle name="Bad 36" xfId="17685"/>
    <cellStyle name="Bad 37" xfId="17686"/>
    <cellStyle name="Bad 38" xfId="17687"/>
    <cellStyle name="Bad 39" xfId="17688"/>
    <cellStyle name="Bad 4" xfId="7903"/>
    <cellStyle name="Bad 4 2" xfId="17689"/>
    <cellStyle name="Bad 4_Note Calc" xfId="27205"/>
    <cellStyle name="Bad 40" xfId="17690"/>
    <cellStyle name="Bad 41" xfId="17691"/>
    <cellStyle name="Bad 42" xfId="17692"/>
    <cellStyle name="Bad 43" xfId="17693"/>
    <cellStyle name="Bad 44" xfId="17694"/>
    <cellStyle name="Bad 45" xfId="17695"/>
    <cellStyle name="Bad 46" xfId="17696"/>
    <cellStyle name="Bad 47" xfId="17697"/>
    <cellStyle name="Bad 48" xfId="17698"/>
    <cellStyle name="Bad 49" xfId="17699"/>
    <cellStyle name="Bad 5" xfId="7904"/>
    <cellStyle name="Bad 5 2" xfId="17700"/>
    <cellStyle name="Bad 5_Note Calc" xfId="27206"/>
    <cellStyle name="Bad 50" xfId="17701"/>
    <cellStyle name="Bad 51" xfId="17702"/>
    <cellStyle name="Bad 52" xfId="17703"/>
    <cellStyle name="Bad 53" xfId="17704"/>
    <cellStyle name="Bad 54" xfId="17705"/>
    <cellStyle name="Bad 55" xfId="17706"/>
    <cellStyle name="Bad 56" xfId="17707"/>
    <cellStyle name="Bad 57" xfId="17708"/>
    <cellStyle name="Bad 58" xfId="17709"/>
    <cellStyle name="Bad 59" xfId="17710"/>
    <cellStyle name="Bad 6" xfId="7905"/>
    <cellStyle name="Bad 6 2" xfId="17711"/>
    <cellStyle name="Bad 6_Note Calc" xfId="27207"/>
    <cellStyle name="Bad 60" xfId="17712"/>
    <cellStyle name="Bad 61" xfId="17713"/>
    <cellStyle name="Bad 62" xfId="17714"/>
    <cellStyle name="Bad 63" xfId="17715"/>
    <cellStyle name="Bad 64" xfId="17716"/>
    <cellStyle name="Bad 65" xfId="17717"/>
    <cellStyle name="Bad 66" xfId="17718"/>
    <cellStyle name="Bad 67" xfId="17719"/>
    <cellStyle name="Bad 68" xfId="17720"/>
    <cellStyle name="Bad 69" xfId="17721"/>
    <cellStyle name="Bad 7" xfId="7906"/>
    <cellStyle name="Bad 7 2" xfId="17722"/>
    <cellStyle name="Bad 7_Note Calc" xfId="27208"/>
    <cellStyle name="Bad 70" xfId="17723"/>
    <cellStyle name="Bad 71" xfId="17724"/>
    <cellStyle name="Bad 72" xfId="17725"/>
    <cellStyle name="Bad 73" xfId="17726"/>
    <cellStyle name="Bad 74" xfId="17727"/>
    <cellStyle name="Bad 75" xfId="17728"/>
    <cellStyle name="Bad 76" xfId="17729"/>
    <cellStyle name="Bad 77" xfId="17730"/>
    <cellStyle name="Bad 78" xfId="17731"/>
    <cellStyle name="Bad 79" xfId="17732"/>
    <cellStyle name="Bad 8" xfId="7907"/>
    <cellStyle name="Bad 8 2" xfId="17733"/>
    <cellStyle name="Bad 8_Note Calc" xfId="27209"/>
    <cellStyle name="Bad 80" xfId="17734"/>
    <cellStyle name="Bad 81" xfId="17735"/>
    <cellStyle name="Bad 82" xfId="17736"/>
    <cellStyle name="Bad 83" xfId="17737"/>
    <cellStyle name="Bad 84" xfId="17738"/>
    <cellStyle name="Bad 85" xfId="17739"/>
    <cellStyle name="Bad 86" xfId="17740"/>
    <cellStyle name="Bad 87" xfId="17741"/>
    <cellStyle name="Bad 88" xfId="17742"/>
    <cellStyle name="Bad 89" xfId="17743"/>
    <cellStyle name="Bad 9" xfId="7908"/>
    <cellStyle name="Bad 9 2" xfId="17744"/>
    <cellStyle name="Bad 9_Note Calc" xfId="27210"/>
    <cellStyle name="Bad 90" xfId="17745"/>
    <cellStyle name="Bad 91" xfId="17746"/>
    <cellStyle name="Bad 92" xfId="17747"/>
    <cellStyle name="Bad 93" xfId="17748"/>
    <cellStyle name="Bad 94" xfId="17749"/>
    <cellStyle name="Bad 95" xfId="17750"/>
    <cellStyle name="Bad 96" xfId="17751"/>
    <cellStyle name="Bad 97" xfId="17752"/>
    <cellStyle name="Bad 98" xfId="17753"/>
    <cellStyle name="Bad 99" xfId="17754"/>
    <cellStyle name="Calculation" xfId="399" builtinId="22" customBuiltin="1"/>
    <cellStyle name="Calculation 10" xfId="12227"/>
    <cellStyle name="Calculation 100" xfId="17755"/>
    <cellStyle name="Calculation 101" xfId="17756"/>
    <cellStyle name="Calculation 102" xfId="17757"/>
    <cellStyle name="Calculation 103" xfId="17758"/>
    <cellStyle name="Calculation 104" xfId="17759"/>
    <cellStyle name="Calculation 105" xfId="17760"/>
    <cellStyle name="Calculation 106" xfId="17761"/>
    <cellStyle name="Calculation 107" xfId="17762"/>
    <cellStyle name="Calculation 108" xfId="17763"/>
    <cellStyle name="Calculation 109" xfId="17764"/>
    <cellStyle name="Calculation 11" xfId="17765"/>
    <cellStyle name="Calculation 110" xfId="17766"/>
    <cellStyle name="Calculation 111" xfId="17767"/>
    <cellStyle name="Calculation 112" xfId="17768"/>
    <cellStyle name="Calculation 113" xfId="17769"/>
    <cellStyle name="Calculation 114" xfId="17770"/>
    <cellStyle name="Calculation 115" xfId="17771"/>
    <cellStyle name="Calculation 116" xfId="17772"/>
    <cellStyle name="Calculation 117" xfId="17773"/>
    <cellStyle name="Calculation 118" xfId="17774"/>
    <cellStyle name="Calculation 119" xfId="17775"/>
    <cellStyle name="Calculation 12" xfId="17776"/>
    <cellStyle name="Calculation 120" xfId="17777"/>
    <cellStyle name="Calculation 121" xfId="17778"/>
    <cellStyle name="Calculation 122" xfId="17779"/>
    <cellStyle name="Calculation 123" xfId="17780"/>
    <cellStyle name="Calculation 124" xfId="17781"/>
    <cellStyle name="Calculation 125" xfId="17782"/>
    <cellStyle name="Calculation 126" xfId="17783"/>
    <cellStyle name="Calculation 127" xfId="17784"/>
    <cellStyle name="Calculation 128" xfId="17785"/>
    <cellStyle name="Calculation 129" xfId="17786"/>
    <cellStyle name="Calculation 13" xfId="17787"/>
    <cellStyle name="Calculation 130" xfId="17788"/>
    <cellStyle name="Calculation 131" xfId="17789"/>
    <cellStyle name="Calculation 132" xfId="17790"/>
    <cellStyle name="Calculation 133" xfId="17791"/>
    <cellStyle name="Calculation 134" xfId="17792"/>
    <cellStyle name="Calculation 135" xfId="17793"/>
    <cellStyle name="Calculation 136" xfId="17794"/>
    <cellStyle name="Calculation 137" xfId="17795"/>
    <cellStyle name="Calculation 138" xfId="17796"/>
    <cellStyle name="Calculation 139" xfId="17797"/>
    <cellStyle name="Calculation 14" xfId="17798"/>
    <cellStyle name="Calculation 140" xfId="17799"/>
    <cellStyle name="Calculation 141" xfId="17800"/>
    <cellStyle name="Calculation 142" xfId="17801"/>
    <cellStyle name="Calculation 143" xfId="17802"/>
    <cellStyle name="Calculation 144" xfId="17803"/>
    <cellStyle name="Calculation 145" xfId="17804"/>
    <cellStyle name="Calculation 146" xfId="17805"/>
    <cellStyle name="Calculation 147" xfId="17806"/>
    <cellStyle name="Calculation 148" xfId="17807"/>
    <cellStyle name="Calculation 149" xfId="17808"/>
    <cellStyle name="Calculation 15" xfId="17809"/>
    <cellStyle name="Calculation 150" xfId="17810"/>
    <cellStyle name="Calculation 151" xfId="17811"/>
    <cellStyle name="Calculation 152" xfId="17812"/>
    <cellStyle name="Calculation 153" xfId="17813"/>
    <cellStyle name="Calculation 154" xfId="17814"/>
    <cellStyle name="Calculation 155" xfId="17815"/>
    <cellStyle name="Calculation 156" xfId="17816"/>
    <cellStyle name="Calculation 157" xfId="17817"/>
    <cellStyle name="Calculation 158" xfId="17818"/>
    <cellStyle name="Calculation 159" xfId="17819"/>
    <cellStyle name="Calculation 16" xfId="17820"/>
    <cellStyle name="Calculation 160" xfId="17821"/>
    <cellStyle name="Calculation 161" xfId="17822"/>
    <cellStyle name="Calculation 162" xfId="17823"/>
    <cellStyle name="Calculation 163" xfId="17824"/>
    <cellStyle name="Calculation 163 2" xfId="21567"/>
    <cellStyle name="Calculation 163 3" xfId="21568"/>
    <cellStyle name="Calculation 163_Note Calc" xfId="27211"/>
    <cellStyle name="Calculation 164" xfId="17825"/>
    <cellStyle name="Calculation 165" xfId="17826"/>
    <cellStyle name="Calculation 166" xfId="17827"/>
    <cellStyle name="Calculation 167" xfId="17828"/>
    <cellStyle name="Calculation 168" xfId="17829"/>
    <cellStyle name="Calculation 169" xfId="17830"/>
    <cellStyle name="Calculation 17" xfId="17831"/>
    <cellStyle name="Calculation 170" xfId="17832"/>
    <cellStyle name="Calculation 171" xfId="17833"/>
    <cellStyle name="Calculation 172" xfId="17834"/>
    <cellStyle name="Calculation 173" xfId="17835"/>
    <cellStyle name="Calculation 174" xfId="17836"/>
    <cellStyle name="Calculation 175" xfId="17837"/>
    <cellStyle name="Calculation 176" xfId="17838"/>
    <cellStyle name="Calculation 177" xfId="17839"/>
    <cellStyle name="Calculation 178" xfId="17840"/>
    <cellStyle name="Calculation 179" xfId="17841"/>
    <cellStyle name="Calculation 18" xfId="17842"/>
    <cellStyle name="Calculation 180" xfId="17843"/>
    <cellStyle name="Calculation 181" xfId="17844"/>
    <cellStyle name="Calculation 182" xfId="17845"/>
    <cellStyle name="Calculation 183" xfId="17846"/>
    <cellStyle name="Calculation 184" xfId="17847"/>
    <cellStyle name="Calculation 185" xfId="17848"/>
    <cellStyle name="Calculation 186" xfId="17849"/>
    <cellStyle name="Calculation 187" xfId="17850"/>
    <cellStyle name="Calculation 188" xfId="17851"/>
    <cellStyle name="Calculation 189" xfId="17852"/>
    <cellStyle name="Calculation 19" xfId="17853"/>
    <cellStyle name="Calculation 190" xfId="17854"/>
    <cellStyle name="Calculation 191" xfId="17855"/>
    <cellStyle name="Calculation 192" xfId="17856"/>
    <cellStyle name="Calculation 193" xfId="17857"/>
    <cellStyle name="Calculation 194" xfId="17858"/>
    <cellStyle name="Calculation 195" xfId="17859"/>
    <cellStyle name="Calculation 196" xfId="17860"/>
    <cellStyle name="Calculation 197" xfId="17861"/>
    <cellStyle name="Calculation 198" xfId="17862"/>
    <cellStyle name="Calculation 199" xfId="17863"/>
    <cellStyle name="Calculation 2" xfId="400"/>
    <cellStyle name="Calculation 2 10" xfId="12124"/>
    <cellStyle name="Calculation 2 11" xfId="17864"/>
    <cellStyle name="Calculation 2 12" xfId="27213"/>
    <cellStyle name="Calculation 2 2" xfId="7909"/>
    <cellStyle name="Calculation 2 2 2" xfId="21569"/>
    <cellStyle name="Calculation 2 2_Note Calc" xfId="27214"/>
    <cellStyle name="Calculation 2 3" xfId="7910"/>
    <cellStyle name="Calculation 2 3 2" xfId="21570"/>
    <cellStyle name="Calculation 2 3_Note Calc" xfId="27215"/>
    <cellStyle name="Calculation 2 4" xfId="7911"/>
    <cellStyle name="Calculation 2 4 2" xfId="21571"/>
    <cellStyle name="Calculation 2 4_Note Calc" xfId="27216"/>
    <cellStyle name="Calculation 2 5" xfId="7912"/>
    <cellStyle name="Calculation 2 6" xfId="7913"/>
    <cellStyle name="Calculation 2 7" xfId="7914"/>
    <cellStyle name="Calculation 2 8" xfId="8321"/>
    <cellStyle name="Calculation 2 9" xfId="8260"/>
    <cellStyle name="Calculation 2_Note Calc" xfId="27212"/>
    <cellStyle name="Calculation 20" xfId="17865"/>
    <cellStyle name="Calculation 200" xfId="17866"/>
    <cellStyle name="Calculation 201" xfId="21837"/>
    <cellStyle name="Calculation 202" xfId="21715"/>
    <cellStyle name="Calculation 203" xfId="21958"/>
    <cellStyle name="Calculation 204" xfId="21910"/>
    <cellStyle name="Calculation 205" xfId="27217"/>
    <cellStyle name="Calculation 21" xfId="17867"/>
    <cellStyle name="Calculation 22" xfId="17868"/>
    <cellStyle name="Calculation 23" xfId="17869"/>
    <cellStyle name="Calculation 24" xfId="17870"/>
    <cellStyle name="Calculation 25" xfId="17871"/>
    <cellStyle name="Calculation 26" xfId="17872"/>
    <cellStyle name="Calculation 27" xfId="17873"/>
    <cellStyle name="Calculation 28" xfId="17874"/>
    <cellStyle name="Calculation 29" xfId="17875"/>
    <cellStyle name="Calculation 3" xfId="7915"/>
    <cellStyle name="Calculation 3 2" xfId="7916"/>
    <cellStyle name="Calculation 3 3" xfId="7917"/>
    <cellStyle name="Calculation 3 4" xfId="7918"/>
    <cellStyle name="Calculation 3 5" xfId="7919"/>
    <cellStyle name="Calculation 3 6" xfId="7920"/>
    <cellStyle name="Calculation 3 7" xfId="7921"/>
    <cellStyle name="Calculation 3 8" xfId="17876"/>
    <cellStyle name="Calculation 3 9" xfId="27218"/>
    <cellStyle name="Calculation 3_Forecast" xfId="22515"/>
    <cellStyle name="Calculation 30" xfId="17877"/>
    <cellStyle name="Calculation 31" xfId="17878"/>
    <cellStyle name="Calculation 32" xfId="17879"/>
    <cellStyle name="Calculation 33" xfId="17880"/>
    <cellStyle name="Calculation 34" xfId="17881"/>
    <cellStyle name="Calculation 35" xfId="17882"/>
    <cellStyle name="Calculation 36" xfId="17883"/>
    <cellStyle name="Calculation 37" xfId="17884"/>
    <cellStyle name="Calculation 38" xfId="17885"/>
    <cellStyle name="Calculation 39" xfId="17886"/>
    <cellStyle name="Calculation 4" xfId="7922"/>
    <cellStyle name="Calculation 4 2" xfId="17887"/>
    <cellStyle name="Calculation 4_Note Calc" xfId="27219"/>
    <cellStyle name="Calculation 40" xfId="17888"/>
    <cellStyle name="Calculation 41" xfId="17889"/>
    <cellStyle name="Calculation 42" xfId="17890"/>
    <cellStyle name="Calculation 43" xfId="17891"/>
    <cellStyle name="Calculation 44" xfId="17892"/>
    <cellStyle name="Calculation 45" xfId="17893"/>
    <cellStyle name="Calculation 46" xfId="17894"/>
    <cellStyle name="Calculation 47" xfId="17895"/>
    <cellStyle name="Calculation 48" xfId="17896"/>
    <cellStyle name="Calculation 49" xfId="17897"/>
    <cellStyle name="Calculation 5" xfId="7923"/>
    <cellStyle name="Calculation 5 2" xfId="17898"/>
    <cellStyle name="Calculation 5_Note Calc" xfId="27220"/>
    <cellStyle name="Calculation 50" xfId="17899"/>
    <cellStyle name="Calculation 51" xfId="17900"/>
    <cellStyle name="Calculation 52" xfId="17901"/>
    <cellStyle name="Calculation 53" xfId="17902"/>
    <cellStyle name="Calculation 54" xfId="17903"/>
    <cellStyle name="Calculation 55" xfId="17904"/>
    <cellStyle name="Calculation 56" xfId="17905"/>
    <cellStyle name="Calculation 57" xfId="17906"/>
    <cellStyle name="Calculation 58" xfId="17907"/>
    <cellStyle name="Calculation 59" xfId="17908"/>
    <cellStyle name="Calculation 6" xfId="7924"/>
    <cellStyle name="Calculation 6 2" xfId="17909"/>
    <cellStyle name="Calculation 6_Note Calc" xfId="27221"/>
    <cellStyle name="Calculation 60" xfId="17910"/>
    <cellStyle name="Calculation 61" xfId="17911"/>
    <cellStyle name="Calculation 62" xfId="17912"/>
    <cellStyle name="Calculation 63" xfId="17913"/>
    <cellStyle name="Calculation 64" xfId="17914"/>
    <cellStyle name="Calculation 65" xfId="17915"/>
    <cellStyle name="Calculation 66" xfId="17916"/>
    <cellStyle name="Calculation 67" xfId="17917"/>
    <cellStyle name="Calculation 68" xfId="17918"/>
    <cellStyle name="Calculation 69" xfId="17919"/>
    <cellStyle name="Calculation 7" xfId="7925"/>
    <cellStyle name="Calculation 7 2" xfId="17920"/>
    <cellStyle name="Calculation 7_Note Calc" xfId="27222"/>
    <cellStyle name="Calculation 70" xfId="17921"/>
    <cellStyle name="Calculation 71" xfId="17922"/>
    <cellStyle name="Calculation 72" xfId="17923"/>
    <cellStyle name="Calculation 73" xfId="17924"/>
    <cellStyle name="Calculation 74" xfId="17925"/>
    <cellStyle name="Calculation 75" xfId="17926"/>
    <cellStyle name="Calculation 76" xfId="17927"/>
    <cellStyle name="Calculation 77" xfId="17928"/>
    <cellStyle name="Calculation 78" xfId="17929"/>
    <cellStyle name="Calculation 79" xfId="17930"/>
    <cellStyle name="Calculation 8" xfId="7926"/>
    <cellStyle name="Calculation 8 2" xfId="17931"/>
    <cellStyle name="Calculation 8_Note Calc" xfId="27223"/>
    <cellStyle name="Calculation 80" xfId="17932"/>
    <cellStyle name="Calculation 81" xfId="17933"/>
    <cellStyle name="Calculation 82" xfId="17934"/>
    <cellStyle name="Calculation 83" xfId="17935"/>
    <cellStyle name="Calculation 84" xfId="17936"/>
    <cellStyle name="Calculation 85" xfId="17937"/>
    <cellStyle name="Calculation 86" xfId="17938"/>
    <cellStyle name="Calculation 87" xfId="17939"/>
    <cellStyle name="Calculation 88" xfId="17940"/>
    <cellStyle name="Calculation 89" xfId="17941"/>
    <cellStyle name="Calculation 9" xfId="7927"/>
    <cellStyle name="Calculation 9 2" xfId="17942"/>
    <cellStyle name="Calculation 9_Note Calc" xfId="27224"/>
    <cellStyle name="Calculation 90" xfId="17943"/>
    <cellStyle name="Calculation 91" xfId="17944"/>
    <cellStyle name="Calculation 92" xfId="17945"/>
    <cellStyle name="Calculation 93" xfId="17946"/>
    <cellStyle name="Calculation 94" xfId="17947"/>
    <cellStyle name="Calculation 95" xfId="17948"/>
    <cellStyle name="Calculation 96" xfId="17949"/>
    <cellStyle name="Calculation 97" xfId="17950"/>
    <cellStyle name="Calculation 98" xfId="17951"/>
    <cellStyle name="Calculation 99" xfId="17952"/>
    <cellStyle name="Check Cell" xfId="401" builtinId="23" customBuiltin="1"/>
    <cellStyle name="Check Cell 10" xfId="12229"/>
    <cellStyle name="Check Cell 100" xfId="17953"/>
    <cellStyle name="Check Cell 101" xfId="17954"/>
    <cellStyle name="Check Cell 102" xfId="17955"/>
    <cellStyle name="Check Cell 103" xfId="17956"/>
    <cellStyle name="Check Cell 104" xfId="17957"/>
    <cellStyle name="Check Cell 105" xfId="17958"/>
    <cellStyle name="Check Cell 106" xfId="17959"/>
    <cellStyle name="Check Cell 107" xfId="17960"/>
    <cellStyle name="Check Cell 108" xfId="17961"/>
    <cellStyle name="Check Cell 109" xfId="17962"/>
    <cellStyle name="Check Cell 11" xfId="17963"/>
    <cellStyle name="Check Cell 110" xfId="17964"/>
    <cellStyle name="Check Cell 111" xfId="17965"/>
    <cellStyle name="Check Cell 112" xfId="17966"/>
    <cellStyle name="Check Cell 113" xfId="17967"/>
    <cellStyle name="Check Cell 114" xfId="17968"/>
    <cellStyle name="Check Cell 115" xfId="17969"/>
    <cellStyle name="Check Cell 116" xfId="17970"/>
    <cellStyle name="Check Cell 117" xfId="17971"/>
    <cellStyle name="Check Cell 118" xfId="17972"/>
    <cellStyle name="Check Cell 119" xfId="17973"/>
    <cellStyle name="Check Cell 12" xfId="17974"/>
    <cellStyle name="Check Cell 120" xfId="17975"/>
    <cellStyle name="Check Cell 121" xfId="17976"/>
    <cellStyle name="Check Cell 122" xfId="17977"/>
    <cellStyle name="Check Cell 123" xfId="17978"/>
    <cellStyle name="Check Cell 124" xfId="17979"/>
    <cellStyle name="Check Cell 125" xfId="17980"/>
    <cellStyle name="Check Cell 126" xfId="17981"/>
    <cellStyle name="Check Cell 127" xfId="17982"/>
    <cellStyle name="Check Cell 128" xfId="17983"/>
    <cellStyle name="Check Cell 129" xfId="17984"/>
    <cellStyle name="Check Cell 13" xfId="17985"/>
    <cellStyle name="Check Cell 130" xfId="17986"/>
    <cellStyle name="Check Cell 131" xfId="17987"/>
    <cellStyle name="Check Cell 132" xfId="17988"/>
    <cellStyle name="Check Cell 133" xfId="17989"/>
    <cellStyle name="Check Cell 134" xfId="17990"/>
    <cellStyle name="Check Cell 135" xfId="17991"/>
    <cellStyle name="Check Cell 136" xfId="17992"/>
    <cellStyle name="Check Cell 137" xfId="17993"/>
    <cellStyle name="Check Cell 138" xfId="17994"/>
    <cellStyle name="Check Cell 139" xfId="17995"/>
    <cellStyle name="Check Cell 14" xfId="17996"/>
    <cellStyle name="Check Cell 140" xfId="17997"/>
    <cellStyle name="Check Cell 141" xfId="17998"/>
    <cellStyle name="Check Cell 142" xfId="17999"/>
    <cellStyle name="Check Cell 143" xfId="18000"/>
    <cellStyle name="Check Cell 144" xfId="18001"/>
    <cellStyle name="Check Cell 145" xfId="18002"/>
    <cellStyle name="Check Cell 146" xfId="18003"/>
    <cellStyle name="Check Cell 147" xfId="18004"/>
    <cellStyle name="Check Cell 148" xfId="18005"/>
    <cellStyle name="Check Cell 149" xfId="18006"/>
    <cellStyle name="Check Cell 15" xfId="18007"/>
    <cellStyle name="Check Cell 150" xfId="18008"/>
    <cellStyle name="Check Cell 151" xfId="18009"/>
    <cellStyle name="Check Cell 152" xfId="18010"/>
    <cellStyle name="Check Cell 153" xfId="18011"/>
    <cellStyle name="Check Cell 154" xfId="18012"/>
    <cellStyle name="Check Cell 155" xfId="18013"/>
    <cellStyle name="Check Cell 156" xfId="18014"/>
    <cellStyle name="Check Cell 157" xfId="18015"/>
    <cellStyle name="Check Cell 158" xfId="18016"/>
    <cellStyle name="Check Cell 159" xfId="18017"/>
    <cellStyle name="Check Cell 16" xfId="18018"/>
    <cellStyle name="Check Cell 160" xfId="18019"/>
    <cellStyle name="Check Cell 161" xfId="18020"/>
    <cellStyle name="Check Cell 162" xfId="18021"/>
    <cellStyle name="Check Cell 163" xfId="18022"/>
    <cellStyle name="Check Cell 163 2" xfId="21572"/>
    <cellStyle name="Check Cell 163 3" xfId="21573"/>
    <cellStyle name="Check Cell 163_Note Calc" xfId="27225"/>
    <cellStyle name="Check Cell 164" xfId="18023"/>
    <cellStyle name="Check Cell 165" xfId="18024"/>
    <cellStyle name="Check Cell 166" xfId="18025"/>
    <cellStyle name="Check Cell 167" xfId="18026"/>
    <cellStyle name="Check Cell 168" xfId="18027"/>
    <cellStyle name="Check Cell 169" xfId="18028"/>
    <cellStyle name="Check Cell 17" xfId="18029"/>
    <cellStyle name="Check Cell 170" xfId="18030"/>
    <cellStyle name="Check Cell 171" xfId="18031"/>
    <cellStyle name="Check Cell 172" xfId="18032"/>
    <cellStyle name="Check Cell 173" xfId="18033"/>
    <cellStyle name="Check Cell 174" xfId="18034"/>
    <cellStyle name="Check Cell 175" xfId="18035"/>
    <cellStyle name="Check Cell 176" xfId="18036"/>
    <cellStyle name="Check Cell 177" xfId="18037"/>
    <cellStyle name="Check Cell 178" xfId="18038"/>
    <cellStyle name="Check Cell 179" xfId="18039"/>
    <cellStyle name="Check Cell 18" xfId="18040"/>
    <cellStyle name="Check Cell 180" xfId="18041"/>
    <cellStyle name="Check Cell 181" xfId="18042"/>
    <cellStyle name="Check Cell 182" xfId="18043"/>
    <cellStyle name="Check Cell 183" xfId="18044"/>
    <cellStyle name="Check Cell 184" xfId="18045"/>
    <cellStyle name="Check Cell 185" xfId="18046"/>
    <cellStyle name="Check Cell 186" xfId="18047"/>
    <cellStyle name="Check Cell 187" xfId="18048"/>
    <cellStyle name="Check Cell 188" xfId="18049"/>
    <cellStyle name="Check Cell 189" xfId="18050"/>
    <cellStyle name="Check Cell 19" xfId="18051"/>
    <cellStyle name="Check Cell 190" xfId="18052"/>
    <cellStyle name="Check Cell 191" xfId="18053"/>
    <cellStyle name="Check Cell 192" xfId="18054"/>
    <cellStyle name="Check Cell 193" xfId="18055"/>
    <cellStyle name="Check Cell 194" xfId="18056"/>
    <cellStyle name="Check Cell 195" xfId="18057"/>
    <cellStyle name="Check Cell 196" xfId="18058"/>
    <cellStyle name="Check Cell 197" xfId="18059"/>
    <cellStyle name="Check Cell 198" xfId="18060"/>
    <cellStyle name="Check Cell 199" xfId="18061"/>
    <cellStyle name="Check Cell 2" xfId="402"/>
    <cellStyle name="Check Cell 2 10" xfId="12125"/>
    <cellStyle name="Check Cell 2 11" xfId="18062"/>
    <cellStyle name="Check Cell 2 12" xfId="27227"/>
    <cellStyle name="Check Cell 2 2" xfId="7928"/>
    <cellStyle name="Check Cell 2 2 2" xfId="21574"/>
    <cellStyle name="Check Cell 2 2_Note Calc" xfId="27228"/>
    <cellStyle name="Check Cell 2 3" xfId="7929"/>
    <cellStyle name="Check Cell 2 3 2" xfId="21575"/>
    <cellStyle name="Check Cell 2 3_Note Calc" xfId="27229"/>
    <cellStyle name="Check Cell 2 4" xfId="7930"/>
    <cellStyle name="Check Cell 2 4 2" xfId="21576"/>
    <cellStyle name="Check Cell 2 4_Note Calc" xfId="27230"/>
    <cellStyle name="Check Cell 2 5" xfId="7931"/>
    <cellStyle name="Check Cell 2 6" xfId="7932"/>
    <cellStyle name="Check Cell 2 7" xfId="7933"/>
    <cellStyle name="Check Cell 2 8" xfId="8329"/>
    <cellStyle name="Check Cell 2 9" xfId="8243"/>
    <cellStyle name="Check Cell 2_Note Calc" xfId="27226"/>
    <cellStyle name="Check Cell 20" xfId="18063"/>
    <cellStyle name="Check Cell 200" xfId="18064"/>
    <cellStyle name="Check Cell 201" xfId="21838"/>
    <cellStyle name="Check Cell 202" xfId="21717"/>
    <cellStyle name="Check Cell 203" xfId="21960"/>
    <cellStyle name="Check Cell 204" xfId="21908"/>
    <cellStyle name="Check Cell 205" xfId="27231"/>
    <cellStyle name="Check Cell 21" xfId="18065"/>
    <cellStyle name="Check Cell 22" xfId="18066"/>
    <cellStyle name="Check Cell 23" xfId="18067"/>
    <cellStyle name="Check Cell 24" xfId="18068"/>
    <cellStyle name="Check Cell 25" xfId="18069"/>
    <cellStyle name="Check Cell 26" xfId="18070"/>
    <cellStyle name="Check Cell 27" xfId="18071"/>
    <cellStyle name="Check Cell 28" xfId="18072"/>
    <cellStyle name="Check Cell 29" xfId="18073"/>
    <cellStyle name="Check Cell 3" xfId="7934"/>
    <cellStyle name="Check Cell 3 2" xfId="7935"/>
    <cellStyle name="Check Cell 3 3" xfId="7936"/>
    <cellStyle name="Check Cell 3 4" xfId="7937"/>
    <cellStyle name="Check Cell 3 5" xfId="7938"/>
    <cellStyle name="Check Cell 3 6" xfId="7939"/>
    <cellStyle name="Check Cell 3 7" xfId="7940"/>
    <cellStyle name="Check Cell 3 8" xfId="18074"/>
    <cellStyle name="Check Cell 3 9" xfId="27232"/>
    <cellStyle name="Check Cell 3_Forecast" xfId="22516"/>
    <cellStyle name="Check Cell 30" xfId="18075"/>
    <cellStyle name="Check Cell 31" xfId="18076"/>
    <cellStyle name="Check Cell 32" xfId="18077"/>
    <cellStyle name="Check Cell 33" xfId="18078"/>
    <cellStyle name="Check Cell 34" xfId="18079"/>
    <cellStyle name="Check Cell 35" xfId="18080"/>
    <cellStyle name="Check Cell 36" xfId="18081"/>
    <cellStyle name="Check Cell 37" xfId="18082"/>
    <cellStyle name="Check Cell 38" xfId="18083"/>
    <cellStyle name="Check Cell 39" xfId="18084"/>
    <cellStyle name="Check Cell 4" xfId="7941"/>
    <cellStyle name="Check Cell 4 2" xfId="18085"/>
    <cellStyle name="Check Cell 4_Note Calc" xfId="27233"/>
    <cellStyle name="Check Cell 40" xfId="18086"/>
    <cellStyle name="Check Cell 41" xfId="18087"/>
    <cellStyle name="Check Cell 42" xfId="18088"/>
    <cellStyle name="Check Cell 43" xfId="18089"/>
    <cellStyle name="Check Cell 44" xfId="18090"/>
    <cellStyle name="Check Cell 45" xfId="18091"/>
    <cellStyle name="Check Cell 46" xfId="18092"/>
    <cellStyle name="Check Cell 47" xfId="18093"/>
    <cellStyle name="Check Cell 48" xfId="18094"/>
    <cellStyle name="Check Cell 49" xfId="18095"/>
    <cellStyle name="Check Cell 5" xfId="7942"/>
    <cellStyle name="Check Cell 5 2" xfId="18096"/>
    <cellStyle name="Check Cell 5_Note Calc" xfId="27234"/>
    <cellStyle name="Check Cell 50" xfId="18097"/>
    <cellStyle name="Check Cell 51" xfId="18098"/>
    <cellStyle name="Check Cell 52" xfId="18099"/>
    <cellStyle name="Check Cell 53" xfId="18100"/>
    <cellStyle name="Check Cell 54" xfId="18101"/>
    <cellStyle name="Check Cell 55" xfId="18102"/>
    <cellStyle name="Check Cell 56" xfId="18103"/>
    <cellStyle name="Check Cell 57" xfId="18104"/>
    <cellStyle name="Check Cell 58" xfId="18105"/>
    <cellStyle name="Check Cell 59" xfId="18106"/>
    <cellStyle name="Check Cell 6" xfId="7943"/>
    <cellStyle name="Check Cell 6 2" xfId="18107"/>
    <cellStyle name="Check Cell 6_Note Calc" xfId="27235"/>
    <cellStyle name="Check Cell 60" xfId="18108"/>
    <cellStyle name="Check Cell 61" xfId="18109"/>
    <cellStyle name="Check Cell 62" xfId="18110"/>
    <cellStyle name="Check Cell 63" xfId="18111"/>
    <cellStyle name="Check Cell 64" xfId="18112"/>
    <cellStyle name="Check Cell 65" xfId="18113"/>
    <cellStyle name="Check Cell 66" xfId="18114"/>
    <cellStyle name="Check Cell 67" xfId="18115"/>
    <cellStyle name="Check Cell 68" xfId="18116"/>
    <cellStyle name="Check Cell 69" xfId="18117"/>
    <cellStyle name="Check Cell 7" xfId="7944"/>
    <cellStyle name="Check Cell 7 2" xfId="18118"/>
    <cellStyle name="Check Cell 7_Note Calc" xfId="27236"/>
    <cellStyle name="Check Cell 70" xfId="18119"/>
    <cellStyle name="Check Cell 71" xfId="18120"/>
    <cellStyle name="Check Cell 72" xfId="18121"/>
    <cellStyle name="Check Cell 73" xfId="18122"/>
    <cellStyle name="Check Cell 74" xfId="18123"/>
    <cellStyle name="Check Cell 75" xfId="18124"/>
    <cellStyle name="Check Cell 76" xfId="18125"/>
    <cellStyle name="Check Cell 77" xfId="18126"/>
    <cellStyle name="Check Cell 78" xfId="18127"/>
    <cellStyle name="Check Cell 79" xfId="18128"/>
    <cellStyle name="Check Cell 8" xfId="7945"/>
    <cellStyle name="Check Cell 8 2" xfId="18129"/>
    <cellStyle name="Check Cell 8_Note Calc" xfId="27237"/>
    <cellStyle name="Check Cell 80" xfId="18130"/>
    <cellStyle name="Check Cell 81" xfId="18131"/>
    <cellStyle name="Check Cell 82" xfId="18132"/>
    <cellStyle name="Check Cell 83" xfId="18133"/>
    <cellStyle name="Check Cell 84" xfId="18134"/>
    <cellStyle name="Check Cell 85" xfId="18135"/>
    <cellStyle name="Check Cell 86" xfId="18136"/>
    <cellStyle name="Check Cell 87" xfId="18137"/>
    <cellStyle name="Check Cell 88" xfId="18138"/>
    <cellStyle name="Check Cell 89" xfId="18139"/>
    <cellStyle name="Check Cell 9" xfId="7946"/>
    <cellStyle name="Check Cell 9 2" xfId="18140"/>
    <cellStyle name="Check Cell 9_Note Calc" xfId="27238"/>
    <cellStyle name="Check Cell 90" xfId="18141"/>
    <cellStyle name="Check Cell 91" xfId="18142"/>
    <cellStyle name="Check Cell 92" xfId="18143"/>
    <cellStyle name="Check Cell 93" xfId="18144"/>
    <cellStyle name="Check Cell 94" xfId="18145"/>
    <cellStyle name="Check Cell 95" xfId="18146"/>
    <cellStyle name="Check Cell 96" xfId="18147"/>
    <cellStyle name="Check Cell 97" xfId="18148"/>
    <cellStyle name="Check Cell 98" xfId="18149"/>
    <cellStyle name="Check Cell 99" xfId="18150"/>
    <cellStyle name="Comma" xfId="21991" builtinId="3"/>
    <cellStyle name="Comma [0] 2" xfId="18151"/>
    <cellStyle name="Comma [0] 2 2" xfId="18152"/>
    <cellStyle name="Comma [0] 2 3" xfId="18153"/>
    <cellStyle name="Comma [0] 2 4" xfId="18154"/>
    <cellStyle name="Comma [0] 2 5" xfId="18155"/>
    <cellStyle name="Comma [0] 2 6" xfId="18156"/>
    <cellStyle name="Comma [0] 2 7" xfId="18157"/>
    <cellStyle name="Comma [0] 2 8" xfId="18158"/>
    <cellStyle name="Comma [0] 2_Note Calc" xfId="27239"/>
    <cellStyle name="Comma 10" xfId="403"/>
    <cellStyle name="Comma 10 10" xfId="404"/>
    <cellStyle name="Comma 10 11" xfId="405"/>
    <cellStyle name="Comma 10 12" xfId="406"/>
    <cellStyle name="Comma 10 13" xfId="407"/>
    <cellStyle name="Comma 10 14" xfId="408"/>
    <cellStyle name="Comma 10 15" xfId="409"/>
    <cellStyle name="Comma 10 16" xfId="410"/>
    <cellStyle name="Comma 10 17" xfId="411"/>
    <cellStyle name="Comma 10 18" xfId="412"/>
    <cellStyle name="Comma 10 19" xfId="413"/>
    <cellStyle name="Comma 10 2" xfId="414"/>
    <cellStyle name="Comma 10 20" xfId="415"/>
    <cellStyle name="Comma 10 21" xfId="416"/>
    <cellStyle name="Comma 10 22" xfId="417"/>
    <cellStyle name="Comma 10 23" xfId="418"/>
    <cellStyle name="Comma 10 24" xfId="419"/>
    <cellStyle name="Comma 10 25" xfId="420"/>
    <cellStyle name="Comma 10 26" xfId="421"/>
    <cellStyle name="Comma 10 27" xfId="422"/>
    <cellStyle name="Comma 10 28" xfId="423"/>
    <cellStyle name="Comma 10 29" xfId="424"/>
    <cellStyle name="Comma 10 3" xfId="425"/>
    <cellStyle name="Comma 10 30" xfId="426"/>
    <cellStyle name="Comma 10 31" xfId="18159"/>
    <cellStyle name="Comma 10 4" xfId="427"/>
    <cellStyle name="Comma 10 5" xfId="428"/>
    <cellStyle name="Comma 10 6" xfId="429"/>
    <cellStyle name="Comma 10 7" xfId="430"/>
    <cellStyle name="Comma 10 8" xfId="431"/>
    <cellStyle name="Comma 10 9" xfId="432"/>
    <cellStyle name="Comma 10_Note Calc" xfId="27240"/>
    <cellStyle name="Comma 11" xfId="433"/>
    <cellStyle name="Comma 11 10" xfId="434"/>
    <cellStyle name="Comma 11 11" xfId="435"/>
    <cellStyle name="Comma 11 12" xfId="436"/>
    <cellStyle name="Comma 11 13" xfId="437"/>
    <cellStyle name="Comma 11 14" xfId="438"/>
    <cellStyle name="Comma 11 15" xfId="439"/>
    <cellStyle name="Comma 11 16" xfId="440"/>
    <cellStyle name="Comma 11 17" xfId="441"/>
    <cellStyle name="Comma 11 18" xfId="442"/>
    <cellStyle name="Comma 11 19" xfId="443"/>
    <cellStyle name="Comma 11 2" xfId="444"/>
    <cellStyle name="Comma 11 20" xfId="445"/>
    <cellStyle name="Comma 11 21" xfId="446"/>
    <cellStyle name="Comma 11 22" xfId="447"/>
    <cellStyle name="Comma 11 23" xfId="448"/>
    <cellStyle name="Comma 11 24" xfId="449"/>
    <cellStyle name="Comma 11 25" xfId="450"/>
    <cellStyle name="Comma 11 26" xfId="451"/>
    <cellStyle name="Comma 11 27" xfId="452"/>
    <cellStyle name="Comma 11 28" xfId="453"/>
    <cellStyle name="Comma 11 29" xfId="454"/>
    <cellStyle name="Comma 11 3" xfId="455"/>
    <cellStyle name="Comma 11 30" xfId="456"/>
    <cellStyle name="Comma 11 31" xfId="18160"/>
    <cellStyle name="Comma 11 4" xfId="457"/>
    <cellStyle name="Comma 11 5" xfId="458"/>
    <cellStyle name="Comma 11 6" xfId="459"/>
    <cellStyle name="Comma 11 7" xfId="460"/>
    <cellStyle name="Comma 11 8" xfId="461"/>
    <cellStyle name="Comma 11 9" xfId="462"/>
    <cellStyle name="Comma 11_Note Calc" xfId="27241"/>
    <cellStyle name="Comma 12" xfId="463"/>
    <cellStyle name="Comma 12 10" xfId="464"/>
    <cellStyle name="Comma 12 11" xfId="465"/>
    <cellStyle name="Comma 12 12" xfId="466"/>
    <cellStyle name="Comma 12 13" xfId="467"/>
    <cellStyle name="Comma 12 14" xfId="468"/>
    <cellStyle name="Comma 12 15" xfId="469"/>
    <cellStyle name="Comma 12 16" xfId="470"/>
    <cellStyle name="Comma 12 17" xfId="471"/>
    <cellStyle name="Comma 12 18" xfId="472"/>
    <cellStyle name="Comma 12 19" xfId="473"/>
    <cellStyle name="Comma 12 2" xfId="474"/>
    <cellStyle name="Comma 12 20" xfId="475"/>
    <cellStyle name="Comma 12 21" xfId="476"/>
    <cellStyle name="Comma 12 22" xfId="477"/>
    <cellStyle name="Comma 12 23" xfId="478"/>
    <cellStyle name="Comma 12 24" xfId="479"/>
    <cellStyle name="Comma 12 25" xfId="480"/>
    <cellStyle name="Comma 12 26" xfId="481"/>
    <cellStyle name="Comma 12 27" xfId="482"/>
    <cellStyle name="Comma 12 28" xfId="483"/>
    <cellStyle name="Comma 12 29" xfId="484"/>
    <cellStyle name="Comma 12 3" xfId="485"/>
    <cellStyle name="Comma 12 30" xfId="486"/>
    <cellStyle name="Comma 12 31" xfId="18161"/>
    <cellStyle name="Comma 12 4" xfId="487"/>
    <cellStyle name="Comma 12 5" xfId="488"/>
    <cellStyle name="Comma 12 6" xfId="489"/>
    <cellStyle name="Comma 12 7" xfId="490"/>
    <cellStyle name="Comma 12 8" xfId="491"/>
    <cellStyle name="Comma 12 9" xfId="492"/>
    <cellStyle name="Comma 12_Note Calc" xfId="27242"/>
    <cellStyle name="Comma 13" xfId="493"/>
    <cellStyle name="Comma 13 10" xfId="494"/>
    <cellStyle name="Comma 13 11" xfId="495"/>
    <cellStyle name="Comma 13 12" xfId="496"/>
    <cellStyle name="Comma 13 13" xfId="497"/>
    <cellStyle name="Comma 13 14" xfId="498"/>
    <cellStyle name="Comma 13 15" xfId="499"/>
    <cellStyle name="Comma 13 16" xfId="500"/>
    <cellStyle name="Comma 13 17" xfId="501"/>
    <cellStyle name="Comma 13 18" xfId="502"/>
    <cellStyle name="Comma 13 19" xfId="503"/>
    <cellStyle name="Comma 13 2" xfId="504"/>
    <cellStyle name="Comma 13 2 2" xfId="18163"/>
    <cellStyle name="Comma 13 2_Note Calc" xfId="27244"/>
    <cellStyle name="Comma 13 20" xfId="505"/>
    <cellStyle name="Comma 13 21" xfId="506"/>
    <cellStyle name="Comma 13 22" xfId="507"/>
    <cellStyle name="Comma 13 23" xfId="508"/>
    <cellStyle name="Comma 13 24" xfId="509"/>
    <cellStyle name="Comma 13 25" xfId="510"/>
    <cellStyle name="Comma 13 26" xfId="511"/>
    <cellStyle name="Comma 13 27" xfId="512"/>
    <cellStyle name="Comma 13 28" xfId="513"/>
    <cellStyle name="Comma 13 29" xfId="514"/>
    <cellStyle name="Comma 13 3" xfId="515"/>
    <cellStyle name="Comma 13 30" xfId="516"/>
    <cellStyle name="Comma 13 31" xfId="18162"/>
    <cellStyle name="Comma 13 4" xfId="517"/>
    <cellStyle name="Comma 13 5" xfId="518"/>
    <cellStyle name="Comma 13 6" xfId="519"/>
    <cellStyle name="Comma 13 7" xfId="520"/>
    <cellStyle name="Comma 13 8" xfId="521"/>
    <cellStyle name="Comma 13 9" xfId="522"/>
    <cellStyle name="Comma 13_Note Calc" xfId="27243"/>
    <cellStyle name="Comma 14" xfId="523"/>
    <cellStyle name="Comma 14 10" xfId="524"/>
    <cellStyle name="Comma 14 11" xfId="525"/>
    <cellStyle name="Comma 14 12" xfId="526"/>
    <cellStyle name="Comma 14 13" xfId="527"/>
    <cellStyle name="Comma 14 14" xfId="528"/>
    <cellStyle name="Comma 14 15" xfId="529"/>
    <cellStyle name="Comma 14 16" xfId="530"/>
    <cellStyle name="Comma 14 17" xfId="531"/>
    <cellStyle name="Comma 14 18" xfId="532"/>
    <cellStyle name="Comma 14 19" xfId="533"/>
    <cellStyle name="Comma 14 2" xfId="534"/>
    <cellStyle name="Comma 14 20" xfId="535"/>
    <cellStyle name="Comma 14 21" xfId="536"/>
    <cellStyle name="Comma 14 22" xfId="537"/>
    <cellStyle name="Comma 14 23" xfId="538"/>
    <cellStyle name="Comma 14 24" xfId="539"/>
    <cellStyle name="Comma 14 25" xfId="540"/>
    <cellStyle name="Comma 14 26" xfId="541"/>
    <cellStyle name="Comma 14 27" xfId="542"/>
    <cellStyle name="Comma 14 28" xfId="543"/>
    <cellStyle name="Comma 14 29" xfId="544"/>
    <cellStyle name="Comma 14 3" xfId="545"/>
    <cellStyle name="Comma 14 30" xfId="546"/>
    <cellStyle name="Comma 14 31" xfId="18164"/>
    <cellStyle name="Comma 14 4" xfId="547"/>
    <cellStyle name="Comma 14 5" xfId="548"/>
    <cellStyle name="Comma 14 6" xfId="549"/>
    <cellStyle name="Comma 14 7" xfId="550"/>
    <cellStyle name="Comma 14 8" xfId="551"/>
    <cellStyle name="Comma 14 9" xfId="552"/>
    <cellStyle name="Comma 14_Note Calc" xfId="27245"/>
    <cellStyle name="Comma 15" xfId="553"/>
    <cellStyle name="Comma 15 10" xfId="554"/>
    <cellStyle name="Comma 15 11" xfId="555"/>
    <cellStyle name="Comma 15 12" xfId="556"/>
    <cellStyle name="Comma 15 13" xfId="557"/>
    <cellStyle name="Comma 15 14" xfId="558"/>
    <cellStyle name="Comma 15 15" xfId="559"/>
    <cellStyle name="Comma 15 16" xfId="560"/>
    <cellStyle name="Comma 15 17" xfId="561"/>
    <cellStyle name="Comma 15 18" xfId="562"/>
    <cellStyle name="Comma 15 19" xfId="563"/>
    <cellStyle name="Comma 15 2" xfId="564"/>
    <cellStyle name="Comma 15 2 10" xfId="565"/>
    <cellStyle name="Comma 15 2 11" xfId="566"/>
    <cellStyle name="Comma 15 2 12" xfId="567"/>
    <cellStyle name="Comma 15 2 13" xfId="568"/>
    <cellStyle name="Comma 15 2 14" xfId="569"/>
    <cellStyle name="Comma 15 2 15" xfId="570"/>
    <cellStyle name="Comma 15 2 16" xfId="571"/>
    <cellStyle name="Comma 15 2 17" xfId="572"/>
    <cellStyle name="Comma 15 2 18" xfId="573"/>
    <cellStyle name="Comma 15 2 19" xfId="574"/>
    <cellStyle name="Comma 15 2 2" xfId="575"/>
    <cellStyle name="Comma 15 2 20" xfId="576"/>
    <cellStyle name="Comma 15 2 21" xfId="577"/>
    <cellStyle name="Comma 15 2 22" xfId="578"/>
    <cellStyle name="Comma 15 2 23" xfId="579"/>
    <cellStyle name="Comma 15 2 24" xfId="580"/>
    <cellStyle name="Comma 15 2 25" xfId="581"/>
    <cellStyle name="Comma 15 2 26" xfId="582"/>
    <cellStyle name="Comma 15 2 27" xfId="583"/>
    <cellStyle name="Comma 15 2 28" xfId="584"/>
    <cellStyle name="Comma 15 2 29" xfId="585"/>
    <cellStyle name="Comma 15 2 3" xfId="586"/>
    <cellStyle name="Comma 15 2 30" xfId="587"/>
    <cellStyle name="Comma 15 2 31" xfId="18166"/>
    <cellStyle name="Comma 15 2 4" xfId="588"/>
    <cellStyle name="Comma 15 2 5" xfId="589"/>
    <cellStyle name="Comma 15 2 6" xfId="590"/>
    <cellStyle name="Comma 15 2 7" xfId="591"/>
    <cellStyle name="Comma 15 2 8" xfId="592"/>
    <cellStyle name="Comma 15 2 9" xfId="593"/>
    <cellStyle name="Comma 15 2_Note Calc" xfId="27247"/>
    <cellStyle name="Comma 15 20" xfId="594"/>
    <cellStyle name="Comma 15 21" xfId="595"/>
    <cellStyle name="Comma 15 22" xfId="596"/>
    <cellStyle name="Comma 15 23" xfId="597"/>
    <cellStyle name="Comma 15 24" xfId="598"/>
    <cellStyle name="Comma 15 25" xfId="599"/>
    <cellStyle name="Comma 15 26" xfId="600"/>
    <cellStyle name="Comma 15 27" xfId="601"/>
    <cellStyle name="Comma 15 28" xfId="602"/>
    <cellStyle name="Comma 15 29" xfId="603"/>
    <cellStyle name="Comma 15 3" xfId="604"/>
    <cellStyle name="Comma 15 3 10" xfId="605"/>
    <cellStyle name="Comma 15 3 11" xfId="606"/>
    <cellStyle name="Comma 15 3 12" xfId="607"/>
    <cellStyle name="Comma 15 3 13" xfId="608"/>
    <cellStyle name="Comma 15 3 14" xfId="609"/>
    <cellStyle name="Comma 15 3 15" xfId="610"/>
    <cellStyle name="Comma 15 3 16" xfId="611"/>
    <cellStyle name="Comma 15 3 17" xfId="612"/>
    <cellStyle name="Comma 15 3 18" xfId="613"/>
    <cellStyle name="Comma 15 3 19" xfId="614"/>
    <cellStyle name="Comma 15 3 2" xfId="615"/>
    <cellStyle name="Comma 15 3 20" xfId="616"/>
    <cellStyle name="Comma 15 3 21" xfId="617"/>
    <cellStyle name="Comma 15 3 22" xfId="618"/>
    <cellStyle name="Comma 15 3 23" xfId="619"/>
    <cellStyle name="Comma 15 3 24" xfId="620"/>
    <cellStyle name="Comma 15 3 25" xfId="621"/>
    <cellStyle name="Comma 15 3 26" xfId="622"/>
    <cellStyle name="Comma 15 3 27" xfId="623"/>
    <cellStyle name="Comma 15 3 28" xfId="624"/>
    <cellStyle name="Comma 15 3 29" xfId="625"/>
    <cellStyle name="Comma 15 3 3" xfId="626"/>
    <cellStyle name="Comma 15 3 30" xfId="627"/>
    <cellStyle name="Comma 15 3 31" xfId="18167"/>
    <cellStyle name="Comma 15 3 4" xfId="628"/>
    <cellStyle name="Comma 15 3 5" xfId="629"/>
    <cellStyle name="Comma 15 3 6" xfId="630"/>
    <cellStyle name="Comma 15 3 7" xfId="631"/>
    <cellStyle name="Comma 15 3 8" xfId="632"/>
    <cellStyle name="Comma 15 3 9" xfId="633"/>
    <cellStyle name="Comma 15 3_Note Calc" xfId="27248"/>
    <cellStyle name="Comma 15 30" xfId="634"/>
    <cellStyle name="Comma 15 31" xfId="635"/>
    <cellStyle name="Comma 15 32" xfId="636"/>
    <cellStyle name="Comma 15 33" xfId="637"/>
    <cellStyle name="Comma 15 34" xfId="18165"/>
    <cellStyle name="Comma 15 4" xfId="638"/>
    <cellStyle name="Comma 15 4 10" xfId="639"/>
    <cellStyle name="Comma 15 4 11" xfId="640"/>
    <cellStyle name="Comma 15 4 12" xfId="641"/>
    <cellStyle name="Comma 15 4 13" xfId="642"/>
    <cellStyle name="Comma 15 4 14" xfId="643"/>
    <cellStyle name="Comma 15 4 15" xfId="644"/>
    <cellStyle name="Comma 15 4 16" xfId="645"/>
    <cellStyle name="Comma 15 4 17" xfId="646"/>
    <cellStyle name="Comma 15 4 18" xfId="647"/>
    <cellStyle name="Comma 15 4 19" xfId="648"/>
    <cellStyle name="Comma 15 4 2" xfId="649"/>
    <cellStyle name="Comma 15 4 20" xfId="650"/>
    <cellStyle name="Comma 15 4 21" xfId="651"/>
    <cellStyle name="Comma 15 4 22" xfId="652"/>
    <cellStyle name="Comma 15 4 23" xfId="653"/>
    <cellStyle name="Comma 15 4 24" xfId="654"/>
    <cellStyle name="Comma 15 4 25" xfId="655"/>
    <cellStyle name="Comma 15 4 26" xfId="656"/>
    <cellStyle name="Comma 15 4 27" xfId="657"/>
    <cellStyle name="Comma 15 4 28" xfId="658"/>
    <cellStyle name="Comma 15 4 29" xfId="659"/>
    <cellStyle name="Comma 15 4 3" xfId="660"/>
    <cellStyle name="Comma 15 4 30" xfId="661"/>
    <cellStyle name="Comma 15 4 4" xfId="662"/>
    <cellStyle name="Comma 15 4 5" xfId="663"/>
    <cellStyle name="Comma 15 4 6" xfId="664"/>
    <cellStyle name="Comma 15 4 7" xfId="665"/>
    <cellStyle name="Comma 15 4 8" xfId="666"/>
    <cellStyle name="Comma 15 4 9" xfId="667"/>
    <cellStyle name="Comma 15 4_Note Calc" xfId="27249"/>
    <cellStyle name="Comma 15 5" xfId="668"/>
    <cellStyle name="Comma 15 6" xfId="669"/>
    <cellStyle name="Comma 15 7" xfId="670"/>
    <cellStyle name="Comma 15 8" xfId="671"/>
    <cellStyle name="Comma 15 9" xfId="672"/>
    <cellStyle name="Comma 15_Note Calc" xfId="27246"/>
    <cellStyle name="Comma 16" xfId="673"/>
    <cellStyle name="Comma 16 10" xfId="674"/>
    <cellStyle name="Comma 16 11" xfId="675"/>
    <cellStyle name="Comma 16 12" xfId="676"/>
    <cellStyle name="Comma 16 13" xfId="677"/>
    <cellStyle name="Comma 16 14" xfId="678"/>
    <cellStyle name="Comma 16 15" xfId="679"/>
    <cellStyle name="Comma 16 16" xfId="680"/>
    <cellStyle name="Comma 16 17" xfId="681"/>
    <cellStyle name="Comma 16 18" xfId="682"/>
    <cellStyle name="Comma 16 19" xfId="683"/>
    <cellStyle name="Comma 16 2" xfId="684"/>
    <cellStyle name="Comma 16 2 2" xfId="18169"/>
    <cellStyle name="Comma 16 2_Note Calc" xfId="27251"/>
    <cellStyle name="Comma 16 20" xfId="685"/>
    <cellStyle name="Comma 16 21" xfId="686"/>
    <cellStyle name="Comma 16 22" xfId="687"/>
    <cellStyle name="Comma 16 23" xfId="688"/>
    <cellStyle name="Comma 16 24" xfId="689"/>
    <cellStyle name="Comma 16 25" xfId="690"/>
    <cellStyle name="Comma 16 26" xfId="691"/>
    <cellStyle name="Comma 16 27" xfId="692"/>
    <cellStyle name="Comma 16 28" xfId="693"/>
    <cellStyle name="Comma 16 29" xfId="694"/>
    <cellStyle name="Comma 16 3" xfId="695"/>
    <cellStyle name="Comma 16 30" xfId="696"/>
    <cellStyle name="Comma 16 31" xfId="18168"/>
    <cellStyle name="Comma 16 4" xfId="697"/>
    <cellStyle name="Comma 16 5" xfId="698"/>
    <cellStyle name="Comma 16 6" xfId="699"/>
    <cellStyle name="Comma 16 7" xfId="700"/>
    <cellStyle name="Comma 16 8" xfId="701"/>
    <cellStyle name="Comma 16 9" xfId="702"/>
    <cellStyle name="Comma 16_Note Calc" xfId="27250"/>
    <cellStyle name="Comma 17" xfId="703"/>
    <cellStyle name="Comma 17 10" xfId="704"/>
    <cellStyle name="Comma 17 11" xfId="705"/>
    <cellStyle name="Comma 17 12" xfId="706"/>
    <cellStyle name="Comma 17 13" xfId="707"/>
    <cellStyle name="Comma 17 14" xfId="708"/>
    <cellStyle name="Comma 17 15" xfId="709"/>
    <cellStyle name="Comma 17 16" xfId="710"/>
    <cellStyle name="Comma 17 17" xfId="711"/>
    <cellStyle name="Comma 17 18" xfId="712"/>
    <cellStyle name="Comma 17 19" xfId="713"/>
    <cellStyle name="Comma 17 2" xfId="714"/>
    <cellStyle name="Comma 17 20" xfId="715"/>
    <cellStyle name="Comma 17 21" xfId="716"/>
    <cellStyle name="Comma 17 22" xfId="717"/>
    <cellStyle name="Comma 17 23" xfId="718"/>
    <cellStyle name="Comma 17 24" xfId="719"/>
    <cellStyle name="Comma 17 25" xfId="720"/>
    <cellStyle name="Comma 17 26" xfId="721"/>
    <cellStyle name="Comma 17 27" xfId="722"/>
    <cellStyle name="Comma 17 28" xfId="723"/>
    <cellStyle name="Comma 17 29" xfId="724"/>
    <cellStyle name="Comma 17 3" xfId="725"/>
    <cellStyle name="Comma 17 30" xfId="726"/>
    <cellStyle name="Comma 17 31" xfId="18170"/>
    <cellStyle name="Comma 17 4" xfId="727"/>
    <cellStyle name="Comma 17 5" xfId="728"/>
    <cellStyle name="Comma 17 6" xfId="729"/>
    <cellStyle name="Comma 17 7" xfId="730"/>
    <cellStyle name="Comma 17 8" xfId="731"/>
    <cellStyle name="Comma 17 9" xfId="732"/>
    <cellStyle name="Comma 17_Note Calc" xfId="27252"/>
    <cellStyle name="Comma 18" xfId="733"/>
    <cellStyle name="Comma 18 10" xfId="734"/>
    <cellStyle name="Comma 18 11" xfId="735"/>
    <cellStyle name="Comma 18 12" xfId="736"/>
    <cellStyle name="Comma 18 13" xfId="737"/>
    <cellStyle name="Comma 18 14" xfId="738"/>
    <cellStyle name="Comma 18 15" xfId="739"/>
    <cellStyle name="Comma 18 16" xfId="740"/>
    <cellStyle name="Comma 18 17" xfId="741"/>
    <cellStyle name="Comma 18 18" xfId="742"/>
    <cellStyle name="Comma 18 19" xfId="743"/>
    <cellStyle name="Comma 18 2" xfId="744"/>
    <cellStyle name="Comma 18 20" xfId="745"/>
    <cellStyle name="Comma 18 21" xfId="746"/>
    <cellStyle name="Comma 18 22" xfId="747"/>
    <cellStyle name="Comma 18 23" xfId="748"/>
    <cellStyle name="Comma 18 24" xfId="749"/>
    <cellStyle name="Comma 18 25" xfId="750"/>
    <cellStyle name="Comma 18 26" xfId="751"/>
    <cellStyle name="Comma 18 27" xfId="752"/>
    <cellStyle name="Comma 18 28" xfId="753"/>
    <cellStyle name="Comma 18 29" xfId="754"/>
    <cellStyle name="Comma 18 3" xfId="755"/>
    <cellStyle name="Comma 18 30" xfId="756"/>
    <cellStyle name="Comma 18 31" xfId="18171"/>
    <cellStyle name="Comma 18 4" xfId="757"/>
    <cellStyle name="Comma 18 5" xfId="758"/>
    <cellStyle name="Comma 18 6" xfId="759"/>
    <cellStyle name="Comma 18 7" xfId="760"/>
    <cellStyle name="Comma 18 8" xfId="761"/>
    <cellStyle name="Comma 18 9" xfId="762"/>
    <cellStyle name="Comma 18_Note Calc" xfId="27253"/>
    <cellStyle name="Comma 19" xfId="763"/>
    <cellStyle name="Comma 19 10" xfId="764"/>
    <cellStyle name="Comma 19 11" xfId="765"/>
    <cellStyle name="Comma 19 12" xfId="766"/>
    <cellStyle name="Comma 19 13" xfId="767"/>
    <cellStyle name="Comma 19 14" xfId="768"/>
    <cellStyle name="Comma 19 15" xfId="769"/>
    <cellStyle name="Comma 19 16" xfId="770"/>
    <cellStyle name="Comma 19 17" xfId="771"/>
    <cellStyle name="Comma 19 18" xfId="772"/>
    <cellStyle name="Comma 19 19" xfId="773"/>
    <cellStyle name="Comma 19 2" xfId="774"/>
    <cellStyle name="Comma 19 20" xfId="775"/>
    <cellStyle name="Comma 19 21" xfId="776"/>
    <cellStyle name="Comma 19 22" xfId="777"/>
    <cellStyle name="Comma 19 23" xfId="778"/>
    <cellStyle name="Comma 19 24" xfId="779"/>
    <cellStyle name="Comma 19 25" xfId="780"/>
    <cellStyle name="Comma 19 26" xfId="781"/>
    <cellStyle name="Comma 19 27" xfId="782"/>
    <cellStyle name="Comma 19 28" xfId="783"/>
    <cellStyle name="Comma 19 29" xfId="784"/>
    <cellStyle name="Comma 19 3" xfId="785"/>
    <cellStyle name="Comma 19 30" xfId="786"/>
    <cellStyle name="Comma 19 31" xfId="18172"/>
    <cellStyle name="Comma 19 4" xfId="787"/>
    <cellStyle name="Comma 19 5" xfId="788"/>
    <cellStyle name="Comma 19 6" xfId="789"/>
    <cellStyle name="Comma 19 7" xfId="790"/>
    <cellStyle name="Comma 19 8" xfId="791"/>
    <cellStyle name="Comma 19 9" xfId="792"/>
    <cellStyle name="Comma 19_Note Calc" xfId="27254"/>
    <cellStyle name="Comma 2" xfId="793"/>
    <cellStyle name="Comma 2 10" xfId="794"/>
    <cellStyle name="Comma 2 10 2" xfId="18174"/>
    <cellStyle name="Comma 2 10_Note Calc" xfId="27256"/>
    <cellStyle name="Comma 2 11" xfId="795"/>
    <cellStyle name="Comma 2 12" xfId="796"/>
    <cellStyle name="Comma 2 13" xfId="797"/>
    <cellStyle name="Comma 2 14" xfId="798"/>
    <cellStyle name="Comma 2 15" xfId="799"/>
    <cellStyle name="Comma 2 16" xfId="800"/>
    <cellStyle name="Comma 2 17" xfId="801"/>
    <cellStyle name="Comma 2 18" xfId="802"/>
    <cellStyle name="Comma 2 19" xfId="803"/>
    <cellStyle name="Comma 2 2" xfId="804"/>
    <cellStyle name="Comma 2 2 10" xfId="18175"/>
    <cellStyle name="Comma 2 2 2" xfId="18176"/>
    <cellStyle name="Comma 2 2 3" xfId="18177"/>
    <cellStyle name="Comma 2 2 4" xfId="18178"/>
    <cellStyle name="Comma 2 2 5" xfId="18179"/>
    <cellStyle name="Comma 2 2 6" xfId="18180"/>
    <cellStyle name="Comma 2 2 7" xfId="18181"/>
    <cellStyle name="Comma 2 2 8" xfId="18182"/>
    <cellStyle name="Comma 2 2 9" xfId="18183"/>
    <cellStyle name="Comma 2 2_Note Calc" xfId="27257"/>
    <cellStyle name="Comma 2 20" xfId="805"/>
    <cellStyle name="Comma 2 21" xfId="806"/>
    <cellStyle name="Comma 2 22" xfId="807"/>
    <cellStyle name="Comma 2 23" xfId="808"/>
    <cellStyle name="Comma 2 24" xfId="809"/>
    <cellStyle name="Comma 2 25" xfId="810"/>
    <cellStyle name="Comma 2 26" xfId="811"/>
    <cellStyle name="Comma 2 27" xfId="812"/>
    <cellStyle name="Comma 2 28" xfId="813"/>
    <cellStyle name="Comma 2 29" xfId="814"/>
    <cellStyle name="Comma 2 3" xfId="815"/>
    <cellStyle name="Comma 2 3 2" xfId="18184"/>
    <cellStyle name="Comma 2 3_Note Calc" xfId="27258"/>
    <cellStyle name="Comma 2 30" xfId="816"/>
    <cellStyle name="Comma 2 31" xfId="817"/>
    <cellStyle name="Comma 2 32" xfId="18173"/>
    <cellStyle name="Comma 2 4" xfId="818"/>
    <cellStyle name="Comma 2 4 2" xfId="18185"/>
    <cellStyle name="Comma 2 4_Note Calc" xfId="27259"/>
    <cellStyle name="Comma 2 5" xfId="819"/>
    <cellStyle name="Comma 2 5 2" xfId="18186"/>
    <cellStyle name="Comma 2 5_Note Calc" xfId="27260"/>
    <cellStyle name="Comma 2 6" xfId="820"/>
    <cellStyle name="Comma 2 6 2" xfId="18187"/>
    <cellStyle name="Comma 2 6_Note Calc" xfId="27261"/>
    <cellStyle name="Comma 2 7" xfId="821"/>
    <cellStyle name="Comma 2 7 2" xfId="18188"/>
    <cellStyle name="Comma 2 7_Note Calc" xfId="27262"/>
    <cellStyle name="Comma 2 8" xfId="822"/>
    <cellStyle name="Comma 2 8 2" xfId="18189"/>
    <cellStyle name="Comma 2 8_Note Calc" xfId="27263"/>
    <cellStyle name="Comma 2 9" xfId="823"/>
    <cellStyle name="Comma 2 9 2" xfId="18190"/>
    <cellStyle name="Comma 2 9_Note Calc" xfId="27264"/>
    <cellStyle name="Comma 2_Note Calc" xfId="27255"/>
    <cellStyle name="Comma 20" xfId="824"/>
    <cellStyle name="Comma 20 10" xfId="825"/>
    <cellStyle name="Comma 20 11" xfId="826"/>
    <cellStyle name="Comma 20 12" xfId="827"/>
    <cellStyle name="Comma 20 13" xfId="828"/>
    <cellStyle name="Comma 20 14" xfId="829"/>
    <cellStyle name="Comma 20 15" xfId="830"/>
    <cellStyle name="Comma 20 16" xfId="831"/>
    <cellStyle name="Comma 20 17" xfId="832"/>
    <cellStyle name="Comma 20 18" xfId="833"/>
    <cellStyle name="Comma 20 19" xfId="834"/>
    <cellStyle name="Comma 20 2" xfId="835"/>
    <cellStyle name="Comma 20 20" xfId="836"/>
    <cellStyle name="Comma 20 21" xfId="837"/>
    <cellStyle name="Comma 20 22" xfId="838"/>
    <cellStyle name="Comma 20 23" xfId="839"/>
    <cellStyle name="Comma 20 24" xfId="840"/>
    <cellStyle name="Comma 20 25" xfId="841"/>
    <cellStyle name="Comma 20 26" xfId="842"/>
    <cellStyle name="Comma 20 27" xfId="843"/>
    <cellStyle name="Comma 20 28" xfId="844"/>
    <cellStyle name="Comma 20 29" xfId="845"/>
    <cellStyle name="Comma 20 3" xfId="846"/>
    <cellStyle name="Comma 20 30" xfId="847"/>
    <cellStyle name="Comma 20 31" xfId="18191"/>
    <cellStyle name="Comma 20 4" xfId="848"/>
    <cellStyle name="Comma 20 5" xfId="849"/>
    <cellStyle name="Comma 20 6" xfId="850"/>
    <cellStyle name="Comma 20 7" xfId="851"/>
    <cellStyle name="Comma 20 8" xfId="852"/>
    <cellStyle name="Comma 20 9" xfId="853"/>
    <cellStyle name="Comma 20_Note Calc" xfId="27265"/>
    <cellStyle name="Comma 21" xfId="854"/>
    <cellStyle name="Comma 21 10" xfId="855"/>
    <cellStyle name="Comma 21 11" xfId="856"/>
    <cellStyle name="Comma 21 12" xfId="857"/>
    <cellStyle name="Comma 21 13" xfId="858"/>
    <cellStyle name="Comma 21 14" xfId="859"/>
    <cellStyle name="Comma 21 15" xfId="860"/>
    <cellStyle name="Comma 21 16" xfId="861"/>
    <cellStyle name="Comma 21 17" xfId="862"/>
    <cellStyle name="Comma 21 18" xfId="863"/>
    <cellStyle name="Comma 21 19" xfId="864"/>
    <cellStyle name="Comma 21 2" xfId="865"/>
    <cellStyle name="Comma 21 20" xfId="866"/>
    <cellStyle name="Comma 21 21" xfId="867"/>
    <cellStyle name="Comma 21 22" xfId="868"/>
    <cellStyle name="Comma 21 23" xfId="869"/>
    <cellStyle name="Comma 21 24" xfId="870"/>
    <cellStyle name="Comma 21 25" xfId="871"/>
    <cellStyle name="Comma 21 26" xfId="872"/>
    <cellStyle name="Comma 21 27" xfId="873"/>
    <cellStyle name="Comma 21 28" xfId="874"/>
    <cellStyle name="Comma 21 29" xfId="875"/>
    <cellStyle name="Comma 21 3" xfId="876"/>
    <cellStyle name="Comma 21 30" xfId="877"/>
    <cellStyle name="Comma 21 31" xfId="18192"/>
    <cellStyle name="Comma 21 4" xfId="878"/>
    <cellStyle name="Comma 21 5" xfId="879"/>
    <cellStyle name="Comma 21 6" xfId="880"/>
    <cellStyle name="Comma 21 7" xfId="881"/>
    <cellStyle name="Comma 21 8" xfId="882"/>
    <cellStyle name="Comma 21 9" xfId="883"/>
    <cellStyle name="Comma 21_Note Calc" xfId="27266"/>
    <cellStyle name="Comma 22" xfId="884"/>
    <cellStyle name="Comma 22 10" xfId="885"/>
    <cellStyle name="Comma 22 11" xfId="886"/>
    <cellStyle name="Comma 22 12" xfId="887"/>
    <cellStyle name="Comma 22 13" xfId="888"/>
    <cellStyle name="Comma 22 14" xfId="889"/>
    <cellStyle name="Comma 22 15" xfId="890"/>
    <cellStyle name="Comma 22 16" xfId="891"/>
    <cellStyle name="Comma 22 17" xfId="892"/>
    <cellStyle name="Comma 22 18" xfId="893"/>
    <cellStyle name="Comma 22 19" xfId="894"/>
    <cellStyle name="Comma 22 2" xfId="895"/>
    <cellStyle name="Comma 22 20" xfId="896"/>
    <cellStyle name="Comma 22 21" xfId="897"/>
    <cellStyle name="Comma 22 22" xfId="898"/>
    <cellStyle name="Comma 22 23" xfId="899"/>
    <cellStyle name="Comma 22 24" xfId="900"/>
    <cellStyle name="Comma 22 25" xfId="901"/>
    <cellStyle name="Comma 22 26" xfId="902"/>
    <cellStyle name="Comma 22 27" xfId="903"/>
    <cellStyle name="Comma 22 28" xfId="904"/>
    <cellStyle name="Comma 22 29" xfId="905"/>
    <cellStyle name="Comma 22 3" xfId="906"/>
    <cellStyle name="Comma 22 30" xfId="907"/>
    <cellStyle name="Comma 22 31" xfId="18193"/>
    <cellStyle name="Comma 22 4" xfId="908"/>
    <cellStyle name="Comma 22 5" xfId="909"/>
    <cellStyle name="Comma 22 6" xfId="910"/>
    <cellStyle name="Comma 22 7" xfId="911"/>
    <cellStyle name="Comma 22 8" xfId="912"/>
    <cellStyle name="Comma 22 9" xfId="913"/>
    <cellStyle name="Comma 22_Note Calc" xfId="27267"/>
    <cellStyle name="Comma 23" xfId="914"/>
    <cellStyle name="Comma 23 10" xfId="915"/>
    <cellStyle name="Comma 23 10 10" xfId="916"/>
    <cellStyle name="Comma 23 10 11" xfId="917"/>
    <cellStyle name="Comma 23 10 12" xfId="918"/>
    <cellStyle name="Comma 23 10 13" xfId="919"/>
    <cellStyle name="Comma 23 10 14" xfId="920"/>
    <cellStyle name="Comma 23 10 15" xfId="921"/>
    <cellStyle name="Comma 23 10 16" xfId="922"/>
    <cellStyle name="Comma 23 10 17" xfId="923"/>
    <cellStyle name="Comma 23 10 18" xfId="924"/>
    <cellStyle name="Comma 23 10 19" xfId="925"/>
    <cellStyle name="Comma 23 10 2" xfId="926"/>
    <cellStyle name="Comma 23 10 20" xfId="927"/>
    <cellStyle name="Comma 23 10 21" xfId="928"/>
    <cellStyle name="Comma 23 10 22" xfId="929"/>
    <cellStyle name="Comma 23 10 23" xfId="930"/>
    <cellStyle name="Comma 23 10 24" xfId="931"/>
    <cellStyle name="Comma 23 10 25" xfId="932"/>
    <cellStyle name="Comma 23 10 26" xfId="933"/>
    <cellStyle name="Comma 23 10 27" xfId="934"/>
    <cellStyle name="Comma 23 10 28" xfId="935"/>
    <cellStyle name="Comma 23 10 29" xfId="936"/>
    <cellStyle name="Comma 23 10 3" xfId="937"/>
    <cellStyle name="Comma 23 10 30" xfId="938"/>
    <cellStyle name="Comma 23 10 4" xfId="939"/>
    <cellStyle name="Comma 23 10 5" xfId="940"/>
    <cellStyle name="Comma 23 10 6" xfId="941"/>
    <cellStyle name="Comma 23 10 7" xfId="942"/>
    <cellStyle name="Comma 23 10 8" xfId="943"/>
    <cellStyle name="Comma 23 10 9" xfId="944"/>
    <cellStyle name="Comma 23 10_Note Calc" xfId="27269"/>
    <cellStyle name="Comma 23 11" xfId="945"/>
    <cellStyle name="Comma 23 12" xfId="946"/>
    <cellStyle name="Comma 23 13" xfId="947"/>
    <cellStyle name="Comma 23 14" xfId="948"/>
    <cellStyle name="Comma 23 15" xfId="949"/>
    <cellStyle name="Comma 23 16" xfId="950"/>
    <cellStyle name="Comma 23 17" xfId="951"/>
    <cellStyle name="Comma 23 18" xfId="952"/>
    <cellStyle name="Comma 23 19" xfId="953"/>
    <cellStyle name="Comma 23 2" xfId="954"/>
    <cellStyle name="Comma 23 2 10" xfId="955"/>
    <cellStyle name="Comma 23 2 11" xfId="956"/>
    <cellStyle name="Comma 23 2 12" xfId="957"/>
    <cellStyle name="Comma 23 2 13" xfId="958"/>
    <cellStyle name="Comma 23 2 14" xfId="959"/>
    <cellStyle name="Comma 23 2 15" xfId="960"/>
    <cellStyle name="Comma 23 2 16" xfId="961"/>
    <cellStyle name="Comma 23 2 17" xfId="962"/>
    <cellStyle name="Comma 23 2 18" xfId="963"/>
    <cellStyle name="Comma 23 2 19" xfId="964"/>
    <cellStyle name="Comma 23 2 2" xfId="965"/>
    <cellStyle name="Comma 23 2 20" xfId="966"/>
    <cellStyle name="Comma 23 2 21" xfId="967"/>
    <cellStyle name="Comma 23 2 22" xfId="968"/>
    <cellStyle name="Comma 23 2 23" xfId="969"/>
    <cellStyle name="Comma 23 2 24" xfId="970"/>
    <cellStyle name="Comma 23 2 25" xfId="971"/>
    <cellStyle name="Comma 23 2 26" xfId="972"/>
    <cellStyle name="Comma 23 2 27" xfId="973"/>
    <cellStyle name="Comma 23 2 28" xfId="974"/>
    <cellStyle name="Comma 23 2 29" xfId="975"/>
    <cellStyle name="Comma 23 2 3" xfId="976"/>
    <cellStyle name="Comma 23 2 30" xfId="977"/>
    <cellStyle name="Comma 23 2 4" xfId="978"/>
    <cellStyle name="Comma 23 2 5" xfId="979"/>
    <cellStyle name="Comma 23 2 6" xfId="980"/>
    <cellStyle name="Comma 23 2 7" xfId="981"/>
    <cellStyle name="Comma 23 2 8" xfId="982"/>
    <cellStyle name="Comma 23 2 9" xfId="983"/>
    <cellStyle name="Comma 23 2_Note Calc" xfId="27270"/>
    <cellStyle name="Comma 23 20" xfId="984"/>
    <cellStyle name="Comma 23 21" xfId="985"/>
    <cellStyle name="Comma 23 22" xfId="986"/>
    <cellStyle name="Comma 23 23" xfId="987"/>
    <cellStyle name="Comma 23 24" xfId="988"/>
    <cellStyle name="Comma 23 25" xfId="989"/>
    <cellStyle name="Comma 23 26" xfId="990"/>
    <cellStyle name="Comma 23 27" xfId="991"/>
    <cellStyle name="Comma 23 28" xfId="992"/>
    <cellStyle name="Comma 23 29" xfId="993"/>
    <cellStyle name="Comma 23 3" xfId="994"/>
    <cellStyle name="Comma 23 3 10" xfId="995"/>
    <cellStyle name="Comma 23 3 11" xfId="996"/>
    <cellStyle name="Comma 23 3 12" xfId="997"/>
    <cellStyle name="Comma 23 3 13" xfId="998"/>
    <cellStyle name="Comma 23 3 14" xfId="999"/>
    <cellStyle name="Comma 23 3 15" xfId="1000"/>
    <cellStyle name="Comma 23 3 16" xfId="1001"/>
    <cellStyle name="Comma 23 3 17" xfId="1002"/>
    <cellStyle name="Comma 23 3 18" xfId="1003"/>
    <cellStyle name="Comma 23 3 19" xfId="1004"/>
    <cellStyle name="Comma 23 3 2" xfId="1005"/>
    <cellStyle name="Comma 23 3 20" xfId="1006"/>
    <cellStyle name="Comma 23 3 21" xfId="1007"/>
    <cellStyle name="Comma 23 3 22" xfId="1008"/>
    <cellStyle name="Comma 23 3 23" xfId="1009"/>
    <cellStyle name="Comma 23 3 24" xfId="1010"/>
    <cellStyle name="Comma 23 3 25" xfId="1011"/>
    <cellStyle name="Comma 23 3 26" xfId="1012"/>
    <cellStyle name="Comma 23 3 27" xfId="1013"/>
    <cellStyle name="Comma 23 3 28" xfId="1014"/>
    <cellStyle name="Comma 23 3 29" xfId="1015"/>
    <cellStyle name="Comma 23 3 3" xfId="1016"/>
    <cellStyle name="Comma 23 3 30" xfId="1017"/>
    <cellStyle name="Comma 23 3 4" xfId="1018"/>
    <cellStyle name="Comma 23 3 5" xfId="1019"/>
    <cellStyle name="Comma 23 3 6" xfId="1020"/>
    <cellStyle name="Comma 23 3 7" xfId="1021"/>
    <cellStyle name="Comma 23 3 8" xfId="1022"/>
    <cellStyle name="Comma 23 3 9" xfId="1023"/>
    <cellStyle name="Comma 23 3_Note Calc" xfId="27271"/>
    <cellStyle name="Comma 23 30" xfId="1024"/>
    <cellStyle name="Comma 23 31" xfId="1025"/>
    <cellStyle name="Comma 23 32" xfId="1026"/>
    <cellStyle name="Comma 23 33" xfId="1027"/>
    <cellStyle name="Comma 23 34" xfId="1028"/>
    <cellStyle name="Comma 23 35" xfId="1029"/>
    <cellStyle name="Comma 23 36" xfId="1030"/>
    <cellStyle name="Comma 23 37" xfId="18194"/>
    <cellStyle name="Comma 23 4" xfId="1031"/>
    <cellStyle name="Comma 23 4 10" xfId="1032"/>
    <cellStyle name="Comma 23 4 11" xfId="1033"/>
    <cellStyle name="Comma 23 4 12" xfId="1034"/>
    <cellStyle name="Comma 23 4 13" xfId="1035"/>
    <cellStyle name="Comma 23 4 14" xfId="1036"/>
    <cellStyle name="Comma 23 4 15" xfId="1037"/>
    <cellStyle name="Comma 23 4 16" xfId="1038"/>
    <cellStyle name="Comma 23 4 17" xfId="1039"/>
    <cellStyle name="Comma 23 4 18" xfId="1040"/>
    <cellStyle name="Comma 23 4 19" xfId="1041"/>
    <cellStyle name="Comma 23 4 2" xfId="1042"/>
    <cellStyle name="Comma 23 4 20" xfId="1043"/>
    <cellStyle name="Comma 23 4 21" xfId="1044"/>
    <cellStyle name="Comma 23 4 22" xfId="1045"/>
    <cellStyle name="Comma 23 4 23" xfId="1046"/>
    <cellStyle name="Comma 23 4 24" xfId="1047"/>
    <cellStyle name="Comma 23 4 25" xfId="1048"/>
    <cellStyle name="Comma 23 4 26" xfId="1049"/>
    <cellStyle name="Comma 23 4 27" xfId="1050"/>
    <cellStyle name="Comma 23 4 28" xfId="1051"/>
    <cellStyle name="Comma 23 4 29" xfId="1052"/>
    <cellStyle name="Comma 23 4 3" xfId="1053"/>
    <cellStyle name="Comma 23 4 30" xfId="1054"/>
    <cellStyle name="Comma 23 4 4" xfId="1055"/>
    <cellStyle name="Comma 23 4 5" xfId="1056"/>
    <cellStyle name="Comma 23 4 6" xfId="1057"/>
    <cellStyle name="Comma 23 4 7" xfId="1058"/>
    <cellStyle name="Comma 23 4 8" xfId="1059"/>
    <cellStyle name="Comma 23 4 9" xfId="1060"/>
    <cellStyle name="Comma 23 4_Note Calc" xfId="27272"/>
    <cellStyle name="Comma 23 5" xfId="1061"/>
    <cellStyle name="Comma 23 5 10" xfId="1062"/>
    <cellStyle name="Comma 23 5 11" xfId="1063"/>
    <cellStyle name="Comma 23 5 12" xfId="1064"/>
    <cellStyle name="Comma 23 5 13" xfId="1065"/>
    <cellStyle name="Comma 23 5 14" xfId="1066"/>
    <cellStyle name="Comma 23 5 15" xfId="1067"/>
    <cellStyle name="Comma 23 5 16" xfId="1068"/>
    <cellStyle name="Comma 23 5 17" xfId="1069"/>
    <cellStyle name="Comma 23 5 18" xfId="1070"/>
    <cellStyle name="Comma 23 5 19" xfId="1071"/>
    <cellStyle name="Comma 23 5 2" xfId="1072"/>
    <cellStyle name="Comma 23 5 20" xfId="1073"/>
    <cellStyle name="Comma 23 5 21" xfId="1074"/>
    <cellStyle name="Comma 23 5 22" xfId="1075"/>
    <cellStyle name="Comma 23 5 23" xfId="1076"/>
    <cellStyle name="Comma 23 5 24" xfId="1077"/>
    <cellStyle name="Comma 23 5 25" xfId="1078"/>
    <cellStyle name="Comma 23 5 26" xfId="1079"/>
    <cellStyle name="Comma 23 5 27" xfId="1080"/>
    <cellStyle name="Comma 23 5 28" xfId="1081"/>
    <cellStyle name="Comma 23 5 29" xfId="1082"/>
    <cellStyle name="Comma 23 5 3" xfId="1083"/>
    <cellStyle name="Comma 23 5 30" xfId="1084"/>
    <cellStyle name="Comma 23 5 4" xfId="1085"/>
    <cellStyle name="Comma 23 5 5" xfId="1086"/>
    <cellStyle name="Comma 23 5 6" xfId="1087"/>
    <cellStyle name="Comma 23 5 7" xfId="1088"/>
    <cellStyle name="Comma 23 5 8" xfId="1089"/>
    <cellStyle name="Comma 23 5 9" xfId="1090"/>
    <cellStyle name="Comma 23 5_Note Calc" xfId="27273"/>
    <cellStyle name="Comma 23 6" xfId="1091"/>
    <cellStyle name="Comma 23 6 10" xfId="1092"/>
    <cellStyle name="Comma 23 6 11" xfId="1093"/>
    <cellStyle name="Comma 23 6 12" xfId="1094"/>
    <cellStyle name="Comma 23 6 13" xfId="1095"/>
    <cellStyle name="Comma 23 6 14" xfId="1096"/>
    <cellStyle name="Comma 23 6 15" xfId="1097"/>
    <cellStyle name="Comma 23 6 16" xfId="1098"/>
    <cellStyle name="Comma 23 6 17" xfId="1099"/>
    <cellStyle name="Comma 23 6 18" xfId="1100"/>
    <cellStyle name="Comma 23 6 19" xfId="1101"/>
    <cellStyle name="Comma 23 6 2" xfId="1102"/>
    <cellStyle name="Comma 23 6 20" xfId="1103"/>
    <cellStyle name="Comma 23 6 21" xfId="1104"/>
    <cellStyle name="Comma 23 6 22" xfId="1105"/>
    <cellStyle name="Comma 23 6 23" xfId="1106"/>
    <cellStyle name="Comma 23 6 24" xfId="1107"/>
    <cellStyle name="Comma 23 6 25" xfId="1108"/>
    <cellStyle name="Comma 23 6 26" xfId="1109"/>
    <cellStyle name="Comma 23 6 27" xfId="1110"/>
    <cellStyle name="Comma 23 6 28" xfId="1111"/>
    <cellStyle name="Comma 23 6 29" xfId="1112"/>
    <cellStyle name="Comma 23 6 3" xfId="1113"/>
    <cellStyle name="Comma 23 6 30" xfId="1114"/>
    <cellStyle name="Comma 23 6 4" xfId="1115"/>
    <cellStyle name="Comma 23 6 5" xfId="1116"/>
    <cellStyle name="Comma 23 6 6" xfId="1117"/>
    <cellStyle name="Comma 23 6 7" xfId="1118"/>
    <cellStyle name="Comma 23 6 8" xfId="1119"/>
    <cellStyle name="Comma 23 6 9" xfId="1120"/>
    <cellStyle name="Comma 23 6_Note Calc" xfId="27274"/>
    <cellStyle name="Comma 23 7" xfId="1121"/>
    <cellStyle name="Comma 23 7 10" xfId="1122"/>
    <cellStyle name="Comma 23 7 11" xfId="1123"/>
    <cellStyle name="Comma 23 7 12" xfId="1124"/>
    <cellStyle name="Comma 23 7 13" xfId="1125"/>
    <cellStyle name="Comma 23 7 14" xfId="1126"/>
    <cellStyle name="Comma 23 7 15" xfId="1127"/>
    <cellStyle name="Comma 23 7 16" xfId="1128"/>
    <cellStyle name="Comma 23 7 17" xfId="1129"/>
    <cellStyle name="Comma 23 7 18" xfId="1130"/>
    <cellStyle name="Comma 23 7 19" xfId="1131"/>
    <cellStyle name="Comma 23 7 2" xfId="1132"/>
    <cellStyle name="Comma 23 7 20" xfId="1133"/>
    <cellStyle name="Comma 23 7 21" xfId="1134"/>
    <cellStyle name="Comma 23 7 22" xfId="1135"/>
    <cellStyle name="Comma 23 7 23" xfId="1136"/>
    <cellStyle name="Comma 23 7 24" xfId="1137"/>
    <cellStyle name="Comma 23 7 25" xfId="1138"/>
    <cellStyle name="Comma 23 7 26" xfId="1139"/>
    <cellStyle name="Comma 23 7 27" xfId="1140"/>
    <cellStyle name="Comma 23 7 28" xfId="1141"/>
    <cellStyle name="Comma 23 7 29" xfId="1142"/>
    <cellStyle name="Comma 23 7 3" xfId="1143"/>
    <cellStyle name="Comma 23 7 30" xfId="1144"/>
    <cellStyle name="Comma 23 7 4" xfId="1145"/>
    <cellStyle name="Comma 23 7 5" xfId="1146"/>
    <cellStyle name="Comma 23 7 6" xfId="1147"/>
    <cellStyle name="Comma 23 7 7" xfId="1148"/>
    <cellStyle name="Comma 23 7 8" xfId="1149"/>
    <cellStyle name="Comma 23 7 9" xfId="1150"/>
    <cellStyle name="Comma 23 7_Note Calc" xfId="27275"/>
    <cellStyle name="Comma 23 8" xfId="1151"/>
    <cellStyle name="Comma 23 8 10" xfId="1152"/>
    <cellStyle name="Comma 23 8 11" xfId="1153"/>
    <cellStyle name="Comma 23 8 12" xfId="1154"/>
    <cellStyle name="Comma 23 8 13" xfId="1155"/>
    <cellStyle name="Comma 23 8 14" xfId="1156"/>
    <cellStyle name="Comma 23 8 15" xfId="1157"/>
    <cellStyle name="Comma 23 8 16" xfId="1158"/>
    <cellStyle name="Comma 23 8 17" xfId="1159"/>
    <cellStyle name="Comma 23 8 18" xfId="1160"/>
    <cellStyle name="Comma 23 8 19" xfId="1161"/>
    <cellStyle name="Comma 23 8 2" xfId="1162"/>
    <cellStyle name="Comma 23 8 20" xfId="1163"/>
    <cellStyle name="Comma 23 8 21" xfId="1164"/>
    <cellStyle name="Comma 23 8 22" xfId="1165"/>
    <cellStyle name="Comma 23 8 23" xfId="1166"/>
    <cellStyle name="Comma 23 8 24" xfId="1167"/>
    <cellStyle name="Comma 23 8 25" xfId="1168"/>
    <cellStyle name="Comma 23 8 26" xfId="1169"/>
    <cellStyle name="Comma 23 8 27" xfId="1170"/>
    <cellStyle name="Comma 23 8 28" xfId="1171"/>
    <cellStyle name="Comma 23 8 29" xfId="1172"/>
    <cellStyle name="Comma 23 8 3" xfId="1173"/>
    <cellStyle name="Comma 23 8 30" xfId="1174"/>
    <cellStyle name="Comma 23 8 4" xfId="1175"/>
    <cellStyle name="Comma 23 8 5" xfId="1176"/>
    <cellStyle name="Comma 23 8 6" xfId="1177"/>
    <cellStyle name="Comma 23 8 7" xfId="1178"/>
    <cellStyle name="Comma 23 8 8" xfId="1179"/>
    <cellStyle name="Comma 23 8 9" xfId="1180"/>
    <cellStyle name="Comma 23 8_Note Calc" xfId="27276"/>
    <cellStyle name="Comma 23 9" xfId="1181"/>
    <cellStyle name="Comma 23 9 10" xfId="1182"/>
    <cellStyle name="Comma 23 9 11" xfId="1183"/>
    <cellStyle name="Comma 23 9 12" xfId="1184"/>
    <cellStyle name="Comma 23 9 13" xfId="1185"/>
    <cellStyle name="Comma 23 9 14" xfId="1186"/>
    <cellStyle name="Comma 23 9 15" xfId="1187"/>
    <cellStyle name="Comma 23 9 16" xfId="1188"/>
    <cellStyle name="Comma 23 9 17" xfId="1189"/>
    <cellStyle name="Comma 23 9 18" xfId="1190"/>
    <cellStyle name="Comma 23 9 19" xfId="1191"/>
    <cellStyle name="Comma 23 9 2" xfId="1192"/>
    <cellStyle name="Comma 23 9 20" xfId="1193"/>
    <cellStyle name="Comma 23 9 21" xfId="1194"/>
    <cellStyle name="Comma 23 9 22" xfId="1195"/>
    <cellStyle name="Comma 23 9 23" xfId="1196"/>
    <cellStyle name="Comma 23 9 24" xfId="1197"/>
    <cellStyle name="Comma 23 9 25" xfId="1198"/>
    <cellStyle name="Comma 23 9 26" xfId="1199"/>
    <cellStyle name="Comma 23 9 27" xfId="1200"/>
    <cellStyle name="Comma 23 9 28" xfId="1201"/>
    <cellStyle name="Comma 23 9 29" xfId="1202"/>
    <cellStyle name="Comma 23 9 3" xfId="1203"/>
    <cellStyle name="Comma 23 9 30" xfId="1204"/>
    <cellStyle name="Comma 23 9 4" xfId="1205"/>
    <cellStyle name="Comma 23 9 5" xfId="1206"/>
    <cellStyle name="Comma 23 9 6" xfId="1207"/>
    <cellStyle name="Comma 23 9 7" xfId="1208"/>
    <cellStyle name="Comma 23 9 8" xfId="1209"/>
    <cellStyle name="Comma 23 9 9" xfId="1210"/>
    <cellStyle name="Comma 23 9_Note Calc" xfId="27277"/>
    <cellStyle name="Comma 23_Note Calc" xfId="27268"/>
    <cellStyle name="Comma 24" xfId="1211"/>
    <cellStyle name="Comma 24 10" xfId="1212"/>
    <cellStyle name="Comma 24 11" xfId="1213"/>
    <cellStyle name="Comma 24 12" xfId="1214"/>
    <cellStyle name="Comma 24 13" xfId="1215"/>
    <cellStyle name="Comma 24 14" xfId="1216"/>
    <cellStyle name="Comma 24 15" xfId="1217"/>
    <cellStyle name="Comma 24 16" xfId="1218"/>
    <cellStyle name="Comma 24 17" xfId="1219"/>
    <cellStyle name="Comma 24 18" xfId="1220"/>
    <cellStyle name="Comma 24 19" xfId="1221"/>
    <cellStyle name="Comma 24 2" xfId="1222"/>
    <cellStyle name="Comma 24 20" xfId="1223"/>
    <cellStyle name="Comma 24 21" xfId="1224"/>
    <cellStyle name="Comma 24 22" xfId="1225"/>
    <cellStyle name="Comma 24 23" xfId="1226"/>
    <cellStyle name="Comma 24 24" xfId="1227"/>
    <cellStyle name="Comma 24 25" xfId="1228"/>
    <cellStyle name="Comma 24 26" xfId="1229"/>
    <cellStyle name="Comma 24 27" xfId="1230"/>
    <cellStyle name="Comma 24 28" xfId="1231"/>
    <cellStyle name="Comma 24 29" xfId="1232"/>
    <cellStyle name="Comma 24 3" xfId="1233"/>
    <cellStyle name="Comma 24 30" xfId="1234"/>
    <cellStyle name="Comma 24 31" xfId="18195"/>
    <cellStyle name="Comma 24 4" xfId="1235"/>
    <cellStyle name="Comma 24 5" xfId="1236"/>
    <cellStyle name="Comma 24 6" xfId="1237"/>
    <cellStyle name="Comma 24 7" xfId="1238"/>
    <cellStyle name="Comma 24 8" xfId="1239"/>
    <cellStyle name="Comma 24 9" xfId="1240"/>
    <cellStyle name="Comma 24_Note Calc" xfId="27278"/>
    <cellStyle name="Comma 25" xfId="1241"/>
    <cellStyle name="Comma 25 10" xfId="1242"/>
    <cellStyle name="Comma 25 11" xfId="1243"/>
    <cellStyle name="Comma 25 12" xfId="1244"/>
    <cellStyle name="Comma 25 13" xfId="1245"/>
    <cellStyle name="Comma 25 14" xfId="1246"/>
    <cellStyle name="Comma 25 15" xfId="1247"/>
    <cellStyle name="Comma 25 16" xfId="1248"/>
    <cellStyle name="Comma 25 17" xfId="1249"/>
    <cellStyle name="Comma 25 18" xfId="1250"/>
    <cellStyle name="Comma 25 19" xfId="1251"/>
    <cellStyle name="Comma 25 2" xfId="1252"/>
    <cellStyle name="Comma 25 20" xfId="1253"/>
    <cellStyle name="Comma 25 21" xfId="1254"/>
    <cellStyle name="Comma 25 22" xfId="1255"/>
    <cellStyle name="Comma 25 23" xfId="1256"/>
    <cellStyle name="Comma 25 24" xfId="1257"/>
    <cellStyle name="Comma 25 25" xfId="1258"/>
    <cellStyle name="Comma 25 26" xfId="1259"/>
    <cellStyle name="Comma 25 27" xfId="1260"/>
    <cellStyle name="Comma 25 28" xfId="1261"/>
    <cellStyle name="Comma 25 29" xfId="1262"/>
    <cellStyle name="Comma 25 3" xfId="1263"/>
    <cellStyle name="Comma 25 30" xfId="1264"/>
    <cellStyle name="Comma 25 31" xfId="18196"/>
    <cellStyle name="Comma 25 4" xfId="1265"/>
    <cellStyle name="Comma 25 5" xfId="1266"/>
    <cellStyle name="Comma 25 6" xfId="1267"/>
    <cellStyle name="Comma 25 7" xfId="1268"/>
    <cellStyle name="Comma 25 8" xfId="1269"/>
    <cellStyle name="Comma 25 9" xfId="1270"/>
    <cellStyle name="Comma 25_Note Calc" xfId="27279"/>
    <cellStyle name="Comma 26" xfId="1271"/>
    <cellStyle name="Comma 26 10" xfId="1272"/>
    <cellStyle name="Comma 26 11" xfId="1273"/>
    <cellStyle name="Comma 26 12" xfId="1274"/>
    <cellStyle name="Comma 26 13" xfId="1275"/>
    <cellStyle name="Comma 26 14" xfId="1276"/>
    <cellStyle name="Comma 26 15" xfId="1277"/>
    <cellStyle name="Comma 26 16" xfId="1278"/>
    <cellStyle name="Comma 26 17" xfId="1279"/>
    <cellStyle name="Comma 26 18" xfId="1280"/>
    <cellStyle name="Comma 26 19" xfId="1281"/>
    <cellStyle name="Comma 26 2" xfId="1282"/>
    <cellStyle name="Comma 26 20" xfId="1283"/>
    <cellStyle name="Comma 26 21" xfId="1284"/>
    <cellStyle name="Comma 26 22" xfId="1285"/>
    <cellStyle name="Comma 26 23" xfId="1286"/>
    <cellStyle name="Comma 26 24" xfId="1287"/>
    <cellStyle name="Comma 26 25" xfId="1288"/>
    <cellStyle name="Comma 26 26" xfId="1289"/>
    <cellStyle name="Comma 26 27" xfId="1290"/>
    <cellStyle name="Comma 26 28" xfId="1291"/>
    <cellStyle name="Comma 26 29" xfId="1292"/>
    <cellStyle name="Comma 26 3" xfId="1293"/>
    <cellStyle name="Comma 26 30" xfId="1294"/>
    <cellStyle name="Comma 26 31" xfId="18197"/>
    <cellStyle name="Comma 26 4" xfId="1295"/>
    <cellStyle name="Comma 26 5" xfId="1296"/>
    <cellStyle name="Comma 26 6" xfId="1297"/>
    <cellStyle name="Comma 26 7" xfId="1298"/>
    <cellStyle name="Comma 26 8" xfId="1299"/>
    <cellStyle name="Comma 26 9" xfId="1300"/>
    <cellStyle name="Comma 26_Note Calc" xfId="27280"/>
    <cellStyle name="Comma 27" xfId="1301"/>
    <cellStyle name="Comma 28" xfId="12259"/>
    <cellStyle name="Comma 28 2" xfId="18198"/>
    <cellStyle name="Comma 28_Note Calc" xfId="27281"/>
    <cellStyle name="Comma 29" xfId="18199"/>
    <cellStyle name="Comma 3" xfId="1302"/>
    <cellStyle name="Comma 3 10" xfId="1303"/>
    <cellStyle name="Comma 3 10 2" xfId="18201"/>
    <cellStyle name="Comma 3 10_Note Calc" xfId="27283"/>
    <cellStyle name="Comma 3 11" xfId="1304"/>
    <cellStyle name="Comma 3 12" xfId="1305"/>
    <cellStyle name="Comma 3 13" xfId="1306"/>
    <cellStyle name="Comma 3 14" xfId="1307"/>
    <cellStyle name="Comma 3 15" xfId="1308"/>
    <cellStyle name="Comma 3 16" xfId="1309"/>
    <cellStyle name="Comma 3 17" xfId="1310"/>
    <cellStyle name="Comma 3 18" xfId="1311"/>
    <cellStyle name="Comma 3 19" xfId="1312"/>
    <cellStyle name="Comma 3 2" xfId="1313"/>
    <cellStyle name="Comma 3 2 2" xfId="18202"/>
    <cellStyle name="Comma 3 2_Note Calc" xfId="27284"/>
    <cellStyle name="Comma 3 20" xfId="1314"/>
    <cellStyle name="Comma 3 21" xfId="1315"/>
    <cellStyle name="Comma 3 22" xfId="1316"/>
    <cellStyle name="Comma 3 23" xfId="1317"/>
    <cellStyle name="Comma 3 24" xfId="1318"/>
    <cellStyle name="Comma 3 25" xfId="1319"/>
    <cellStyle name="Comma 3 26" xfId="1320"/>
    <cellStyle name="Comma 3 27" xfId="1321"/>
    <cellStyle name="Comma 3 28" xfId="1322"/>
    <cellStyle name="Comma 3 29" xfId="1323"/>
    <cellStyle name="Comma 3 3" xfId="1324"/>
    <cellStyle name="Comma 3 3 2" xfId="18203"/>
    <cellStyle name="Comma 3 3_Note Calc" xfId="27285"/>
    <cellStyle name="Comma 3 30" xfId="1325"/>
    <cellStyle name="Comma 3 31" xfId="1326"/>
    <cellStyle name="Comma 3 32" xfId="18200"/>
    <cellStyle name="Comma 3 33" xfId="21932"/>
    <cellStyle name="Comma 3 34" xfId="21931"/>
    <cellStyle name="Comma 3 4" xfId="1327"/>
    <cellStyle name="Comma 3 4 2" xfId="18204"/>
    <cellStyle name="Comma 3 4_Note Calc" xfId="27286"/>
    <cellStyle name="Comma 3 5" xfId="1328"/>
    <cellStyle name="Comma 3 5 2" xfId="18205"/>
    <cellStyle name="Comma 3 5_Note Calc" xfId="27287"/>
    <cellStyle name="Comma 3 6" xfId="1329"/>
    <cellStyle name="Comma 3 6 2" xfId="18206"/>
    <cellStyle name="Comma 3 6_Note Calc" xfId="27288"/>
    <cellStyle name="Comma 3 7" xfId="1330"/>
    <cellStyle name="Comma 3 7 2" xfId="18207"/>
    <cellStyle name="Comma 3 7_Note Calc" xfId="27289"/>
    <cellStyle name="Comma 3 8" xfId="1331"/>
    <cellStyle name="Comma 3 8 2" xfId="18208"/>
    <cellStyle name="Comma 3 8_Note Calc" xfId="27290"/>
    <cellStyle name="Comma 3 9" xfId="1332"/>
    <cellStyle name="Comma 3 9 2" xfId="18209"/>
    <cellStyle name="Comma 3 9_Note Calc" xfId="27291"/>
    <cellStyle name="Comma 3_Note Calc" xfId="27282"/>
    <cellStyle name="Comma 30" xfId="18210"/>
    <cellStyle name="Comma 31" xfId="18211"/>
    <cellStyle name="Comma 32" xfId="18212"/>
    <cellStyle name="Comma 33" xfId="18213"/>
    <cellStyle name="Comma 34" xfId="18214"/>
    <cellStyle name="Comma 35" xfId="18215"/>
    <cellStyle name="Comma 36" xfId="18216"/>
    <cellStyle name="Comma 37" xfId="18217"/>
    <cellStyle name="Comma 38" xfId="18218"/>
    <cellStyle name="Comma 39" xfId="18219"/>
    <cellStyle name="Comma 4" xfId="1333"/>
    <cellStyle name="Comma 4 10" xfId="1334"/>
    <cellStyle name="Comma 4 11" xfId="1335"/>
    <cellStyle name="Comma 4 12" xfId="1336"/>
    <cellStyle name="Comma 4 13" xfId="1337"/>
    <cellStyle name="Comma 4 14" xfId="1338"/>
    <cellStyle name="Comma 4 15" xfId="1339"/>
    <cellStyle name="Comma 4 16" xfId="1340"/>
    <cellStyle name="Comma 4 17" xfId="1341"/>
    <cellStyle name="Comma 4 18" xfId="1342"/>
    <cellStyle name="Comma 4 19" xfId="1343"/>
    <cellStyle name="Comma 4 2" xfId="1344"/>
    <cellStyle name="Comma 4 2 2" xfId="18221"/>
    <cellStyle name="Comma 4 2_Note Calc" xfId="27293"/>
    <cellStyle name="Comma 4 20" xfId="1345"/>
    <cellStyle name="Comma 4 21" xfId="1346"/>
    <cellStyle name="Comma 4 22" xfId="1347"/>
    <cellStyle name="Comma 4 23" xfId="1348"/>
    <cellStyle name="Comma 4 24" xfId="1349"/>
    <cellStyle name="Comma 4 25" xfId="1350"/>
    <cellStyle name="Comma 4 26" xfId="1351"/>
    <cellStyle name="Comma 4 27" xfId="1352"/>
    <cellStyle name="Comma 4 28" xfId="1353"/>
    <cellStyle name="Comma 4 29" xfId="1354"/>
    <cellStyle name="Comma 4 3" xfId="1355"/>
    <cellStyle name="Comma 4 3 2" xfId="18222"/>
    <cellStyle name="Comma 4 3_Note Calc" xfId="27294"/>
    <cellStyle name="Comma 4 30" xfId="1356"/>
    <cellStyle name="Comma 4 31" xfId="18220"/>
    <cellStyle name="Comma 4 32" xfId="21933"/>
    <cellStyle name="Comma 4 33" xfId="21930"/>
    <cellStyle name="Comma 4 4" xfId="1357"/>
    <cellStyle name="Comma 4 4 2" xfId="18223"/>
    <cellStyle name="Comma 4 4_Note Calc" xfId="27295"/>
    <cellStyle name="Comma 4 5" xfId="1358"/>
    <cellStyle name="Comma 4 5 2" xfId="18224"/>
    <cellStyle name="Comma 4 5_Note Calc" xfId="27296"/>
    <cellStyle name="Comma 4 6" xfId="1359"/>
    <cellStyle name="Comma 4 6 2" xfId="18225"/>
    <cellStyle name="Comma 4 6_Note Calc" xfId="27297"/>
    <cellStyle name="Comma 4 7" xfId="1360"/>
    <cellStyle name="Comma 4 7 2" xfId="18226"/>
    <cellStyle name="Comma 4 7_Note Calc" xfId="27298"/>
    <cellStyle name="Comma 4 8" xfId="1361"/>
    <cellStyle name="Comma 4 8 2" xfId="18227"/>
    <cellStyle name="Comma 4 8_Note Calc" xfId="27299"/>
    <cellStyle name="Comma 4 9" xfId="1362"/>
    <cellStyle name="Comma 4_Note Calc" xfId="27292"/>
    <cellStyle name="Comma 40" xfId="18228"/>
    <cellStyle name="Comma 41" xfId="18229"/>
    <cellStyle name="Comma 42" xfId="18230"/>
    <cellStyle name="Comma 43" xfId="18231"/>
    <cellStyle name="Comma 44" xfId="18232"/>
    <cellStyle name="Comma 45" xfId="18233"/>
    <cellStyle name="Comma 46" xfId="18234"/>
    <cellStyle name="Comma 47" xfId="18235"/>
    <cellStyle name="Comma 48" xfId="18236"/>
    <cellStyle name="Comma 49" xfId="18237"/>
    <cellStyle name="Comma 5" xfId="1363"/>
    <cellStyle name="Comma 5 10" xfId="1364"/>
    <cellStyle name="Comma 5 11" xfId="1365"/>
    <cellStyle name="Comma 5 12" xfId="1366"/>
    <cellStyle name="Comma 5 13" xfId="1367"/>
    <cellStyle name="Comma 5 14" xfId="1368"/>
    <cellStyle name="Comma 5 15" xfId="1369"/>
    <cellStyle name="Comma 5 16" xfId="1370"/>
    <cellStyle name="Comma 5 17" xfId="1371"/>
    <cellStyle name="Comma 5 18" xfId="1372"/>
    <cellStyle name="Comma 5 19" xfId="1373"/>
    <cellStyle name="Comma 5 2" xfId="1374"/>
    <cellStyle name="Comma 5 2 2" xfId="18239"/>
    <cellStyle name="Comma 5 2_Note Calc" xfId="27301"/>
    <cellStyle name="Comma 5 20" xfId="1375"/>
    <cellStyle name="Comma 5 21" xfId="1376"/>
    <cellStyle name="Comma 5 22" xfId="1377"/>
    <cellStyle name="Comma 5 23" xfId="1378"/>
    <cellStyle name="Comma 5 24" xfId="1379"/>
    <cellStyle name="Comma 5 25" xfId="1380"/>
    <cellStyle name="Comma 5 26" xfId="1381"/>
    <cellStyle name="Comma 5 27" xfId="1382"/>
    <cellStyle name="Comma 5 28" xfId="1383"/>
    <cellStyle name="Comma 5 29" xfId="1384"/>
    <cellStyle name="Comma 5 3" xfId="1385"/>
    <cellStyle name="Comma 5 3 2" xfId="18240"/>
    <cellStyle name="Comma 5 3_Note Calc" xfId="27302"/>
    <cellStyle name="Comma 5 30" xfId="1386"/>
    <cellStyle name="Comma 5 31" xfId="18238"/>
    <cellStyle name="Comma 5 4" xfId="1387"/>
    <cellStyle name="Comma 5 4 2" xfId="18241"/>
    <cellStyle name="Comma 5 4_Note Calc" xfId="27303"/>
    <cellStyle name="Comma 5 5" xfId="1388"/>
    <cellStyle name="Comma 5 5 2" xfId="18242"/>
    <cellStyle name="Comma 5 5_Note Calc" xfId="27304"/>
    <cellStyle name="Comma 5 6" xfId="1389"/>
    <cellStyle name="Comma 5 6 2" xfId="18243"/>
    <cellStyle name="Comma 5 6_Note Calc" xfId="27305"/>
    <cellStyle name="Comma 5 7" xfId="1390"/>
    <cellStyle name="Comma 5 7 2" xfId="18244"/>
    <cellStyle name="Comma 5 7_Note Calc" xfId="27306"/>
    <cellStyle name="Comma 5 8" xfId="1391"/>
    <cellStyle name="Comma 5 8 2" xfId="18245"/>
    <cellStyle name="Comma 5 8_Note Calc" xfId="27307"/>
    <cellStyle name="Comma 5 9" xfId="1392"/>
    <cellStyle name="Comma 5 9 2" xfId="21774"/>
    <cellStyle name="Comma 5 9_Note Calc" xfId="27308"/>
    <cellStyle name="Comma 5_Note Calc" xfId="27300"/>
    <cellStyle name="Comma 50" xfId="18246"/>
    <cellStyle name="Comma 51" xfId="18247"/>
    <cellStyle name="Comma 52" xfId="18248"/>
    <cellStyle name="Comma 53" xfId="18249"/>
    <cellStyle name="Comma 54" xfId="12264"/>
    <cellStyle name="Comma 55" xfId="21689"/>
    <cellStyle name="Comma 56" xfId="21702"/>
    <cellStyle name="Comma 57" xfId="21692"/>
    <cellStyle name="Comma 58" xfId="21699"/>
    <cellStyle name="Comma 59" xfId="21693"/>
    <cellStyle name="Comma 6" xfId="1393"/>
    <cellStyle name="Comma 6 10" xfId="1394"/>
    <cellStyle name="Comma 6 11" xfId="1395"/>
    <cellStyle name="Comma 6 12" xfId="1396"/>
    <cellStyle name="Comma 6 13" xfId="1397"/>
    <cellStyle name="Comma 6 14" xfId="1398"/>
    <cellStyle name="Comma 6 15" xfId="1399"/>
    <cellStyle name="Comma 6 16" xfId="1400"/>
    <cellStyle name="Comma 6 17" xfId="1401"/>
    <cellStyle name="Comma 6 18" xfId="1402"/>
    <cellStyle name="Comma 6 19" xfId="1403"/>
    <cellStyle name="Comma 6 2" xfId="1404"/>
    <cellStyle name="Comma 6 2 2" xfId="18251"/>
    <cellStyle name="Comma 6 2_Note Calc" xfId="27310"/>
    <cellStyle name="Comma 6 20" xfId="1405"/>
    <cellStyle name="Comma 6 21" xfId="1406"/>
    <cellStyle name="Comma 6 22" xfId="1407"/>
    <cellStyle name="Comma 6 23" xfId="1408"/>
    <cellStyle name="Comma 6 24" xfId="1409"/>
    <cellStyle name="Comma 6 25" xfId="1410"/>
    <cellStyle name="Comma 6 26" xfId="1411"/>
    <cellStyle name="Comma 6 27" xfId="1412"/>
    <cellStyle name="Comma 6 28" xfId="1413"/>
    <cellStyle name="Comma 6 29" xfId="1414"/>
    <cellStyle name="Comma 6 3" xfId="1415"/>
    <cellStyle name="Comma 6 3 2" xfId="18252"/>
    <cellStyle name="Comma 6 3_Note Calc" xfId="27311"/>
    <cellStyle name="Comma 6 30" xfId="1416"/>
    <cellStyle name="Comma 6 31" xfId="18250"/>
    <cellStyle name="Comma 6 4" xfId="1417"/>
    <cellStyle name="Comma 6 4 2" xfId="18253"/>
    <cellStyle name="Comma 6 4_Note Calc" xfId="27312"/>
    <cellStyle name="Comma 6 5" xfId="1418"/>
    <cellStyle name="Comma 6 5 2" xfId="18254"/>
    <cellStyle name="Comma 6 5_Note Calc" xfId="27313"/>
    <cellStyle name="Comma 6 6" xfId="1419"/>
    <cellStyle name="Comma 6 6 2" xfId="18255"/>
    <cellStyle name="Comma 6 6_Note Calc" xfId="27314"/>
    <cellStyle name="Comma 6 7" xfId="1420"/>
    <cellStyle name="Comma 6 7 2" xfId="18256"/>
    <cellStyle name="Comma 6 7_Note Calc" xfId="27315"/>
    <cellStyle name="Comma 6 8" xfId="1421"/>
    <cellStyle name="Comma 6 8 2" xfId="18257"/>
    <cellStyle name="Comma 6 8_Note Calc" xfId="27316"/>
    <cellStyle name="Comma 6 9" xfId="1422"/>
    <cellStyle name="Comma 6_Note Calc" xfId="27309"/>
    <cellStyle name="Comma 60" xfId="21698"/>
    <cellStyle name="Comma 61" xfId="21694"/>
    <cellStyle name="Comma 62" xfId="21701"/>
    <cellStyle name="Comma 63" xfId="21696"/>
    <cellStyle name="Comma 64" xfId="21691"/>
    <cellStyle name="Comma 65" xfId="21690"/>
    <cellStyle name="Comma 66" xfId="21700"/>
    <cellStyle name="Comma 67" xfId="21697"/>
    <cellStyle name="Comma 68" xfId="21695"/>
    <cellStyle name="Comma 69" xfId="21703"/>
    <cellStyle name="Comma 7" xfId="1423"/>
    <cellStyle name="Comma 7 10" xfId="1424"/>
    <cellStyle name="Comma 7 11" xfId="1425"/>
    <cellStyle name="Comma 7 12" xfId="1426"/>
    <cellStyle name="Comma 7 13" xfId="1427"/>
    <cellStyle name="Comma 7 14" xfId="1428"/>
    <cellStyle name="Comma 7 15" xfId="1429"/>
    <cellStyle name="Comma 7 16" xfId="1430"/>
    <cellStyle name="Comma 7 17" xfId="1431"/>
    <cellStyle name="Comma 7 18" xfId="1432"/>
    <cellStyle name="Comma 7 19" xfId="1433"/>
    <cellStyle name="Comma 7 2" xfId="1434"/>
    <cellStyle name="Comma 7 20" xfId="1435"/>
    <cellStyle name="Comma 7 21" xfId="1436"/>
    <cellStyle name="Comma 7 22" xfId="1437"/>
    <cellStyle name="Comma 7 23" xfId="1438"/>
    <cellStyle name="Comma 7 24" xfId="1439"/>
    <cellStyle name="Comma 7 25" xfId="1440"/>
    <cellStyle name="Comma 7 26" xfId="1441"/>
    <cellStyle name="Comma 7 27" xfId="1442"/>
    <cellStyle name="Comma 7 28" xfId="1443"/>
    <cellStyle name="Comma 7 29" xfId="1444"/>
    <cellStyle name="Comma 7 3" xfId="1445"/>
    <cellStyle name="Comma 7 30" xfId="1446"/>
    <cellStyle name="Comma 7 31" xfId="18258"/>
    <cellStyle name="Comma 7 4" xfId="1447"/>
    <cellStyle name="Comma 7 5" xfId="1448"/>
    <cellStyle name="Comma 7 6" xfId="1449"/>
    <cellStyle name="Comma 7 7" xfId="1450"/>
    <cellStyle name="Comma 7 8" xfId="1451"/>
    <cellStyle name="Comma 7 9" xfId="1452"/>
    <cellStyle name="Comma 7_Note Calc" xfId="27317"/>
    <cellStyle name="Comma 70" xfId="21705"/>
    <cellStyle name="Comma 71" xfId="21704"/>
    <cellStyle name="Comma 72" xfId="21746"/>
    <cellStyle name="Comma 73" xfId="21753"/>
    <cellStyle name="Comma 74" xfId="21748"/>
    <cellStyle name="Comma 75" xfId="21752"/>
    <cellStyle name="Comma 76" xfId="21749"/>
    <cellStyle name="Comma 77" xfId="21751"/>
    <cellStyle name="Comma 78" xfId="21750"/>
    <cellStyle name="Comma 79" xfId="21747"/>
    <cellStyle name="Comma 8" xfId="1453"/>
    <cellStyle name="Comma 8 10" xfId="1454"/>
    <cellStyle name="Comma 8 11" xfId="1455"/>
    <cellStyle name="Comma 8 12" xfId="1456"/>
    <cellStyle name="Comma 8 13" xfId="1457"/>
    <cellStyle name="Comma 8 14" xfId="1458"/>
    <cellStyle name="Comma 8 15" xfId="1459"/>
    <cellStyle name="Comma 8 16" xfId="1460"/>
    <cellStyle name="Comma 8 17" xfId="1461"/>
    <cellStyle name="Comma 8 18" xfId="1462"/>
    <cellStyle name="Comma 8 19" xfId="1463"/>
    <cellStyle name="Comma 8 2" xfId="1464"/>
    <cellStyle name="Comma 8 20" xfId="1465"/>
    <cellStyle name="Comma 8 21" xfId="1466"/>
    <cellStyle name="Comma 8 22" xfId="1467"/>
    <cellStyle name="Comma 8 23" xfId="1468"/>
    <cellStyle name="Comma 8 24" xfId="1469"/>
    <cellStyle name="Comma 8 25" xfId="1470"/>
    <cellStyle name="Comma 8 26" xfId="1471"/>
    <cellStyle name="Comma 8 27" xfId="1472"/>
    <cellStyle name="Comma 8 28" xfId="1473"/>
    <cellStyle name="Comma 8 29" xfId="1474"/>
    <cellStyle name="Comma 8 3" xfId="1475"/>
    <cellStyle name="Comma 8 30" xfId="1476"/>
    <cellStyle name="Comma 8 31" xfId="18259"/>
    <cellStyle name="Comma 8 4" xfId="1477"/>
    <cellStyle name="Comma 8 5" xfId="1478"/>
    <cellStyle name="Comma 8 6" xfId="1479"/>
    <cellStyle name="Comma 8 7" xfId="1480"/>
    <cellStyle name="Comma 8 8" xfId="1481"/>
    <cellStyle name="Comma 8 9" xfId="1482"/>
    <cellStyle name="Comma 8_Note Calc" xfId="27318"/>
    <cellStyle name="Comma 80" xfId="21754"/>
    <cellStyle name="Comma 81" xfId="21756"/>
    <cellStyle name="Comma 82" xfId="21755"/>
    <cellStyle name="Comma 83" xfId="21757"/>
    <cellStyle name="Comma 84" xfId="21758"/>
    <cellStyle name="Comma 85" xfId="21759"/>
    <cellStyle name="Comma 86" xfId="21760"/>
    <cellStyle name="Comma 87" xfId="21765"/>
    <cellStyle name="Comma 88" xfId="21768"/>
    <cellStyle name="Comma 89" xfId="21764"/>
    <cellStyle name="Comma 9" xfId="1483"/>
    <cellStyle name="Comma 9 10" xfId="1484"/>
    <cellStyle name="Comma 9 11" xfId="1485"/>
    <cellStyle name="Comma 9 12" xfId="1486"/>
    <cellStyle name="Comma 9 13" xfId="1487"/>
    <cellStyle name="Comma 9 14" xfId="1488"/>
    <cellStyle name="Comma 9 15" xfId="1489"/>
    <cellStyle name="Comma 9 16" xfId="1490"/>
    <cellStyle name="Comma 9 17" xfId="1491"/>
    <cellStyle name="Comma 9 18" xfId="1492"/>
    <cellStyle name="Comma 9 19" xfId="1493"/>
    <cellStyle name="Comma 9 2" xfId="1494"/>
    <cellStyle name="Comma 9 20" xfId="1495"/>
    <cellStyle name="Comma 9 21" xfId="1496"/>
    <cellStyle name="Comma 9 22" xfId="1497"/>
    <cellStyle name="Comma 9 23" xfId="1498"/>
    <cellStyle name="Comma 9 24" xfId="1499"/>
    <cellStyle name="Comma 9 25" xfId="1500"/>
    <cellStyle name="Comma 9 26" xfId="1501"/>
    <cellStyle name="Comma 9 27" xfId="1502"/>
    <cellStyle name="Comma 9 28" xfId="1503"/>
    <cellStyle name="Comma 9 29" xfId="1504"/>
    <cellStyle name="Comma 9 3" xfId="1505"/>
    <cellStyle name="Comma 9 30" xfId="1506"/>
    <cellStyle name="Comma 9 31" xfId="18260"/>
    <cellStyle name="Comma 9 4" xfId="1507"/>
    <cellStyle name="Comma 9 5" xfId="1508"/>
    <cellStyle name="Comma 9 6" xfId="1509"/>
    <cellStyle name="Comma 9 7" xfId="1510"/>
    <cellStyle name="Comma 9 8" xfId="1511"/>
    <cellStyle name="Comma 9 9" xfId="1512"/>
    <cellStyle name="Comma 9_Note Calc" xfId="27319"/>
    <cellStyle name="Comma 90" xfId="21762"/>
    <cellStyle name="Comma 91" xfId="21763"/>
    <cellStyle name="Comma 92" xfId="21766"/>
    <cellStyle name="Comma 93" xfId="21767"/>
    <cellStyle name="Comma 94" xfId="21773"/>
    <cellStyle name="Comma 95" xfId="21687"/>
    <cellStyle name="Comma 96" xfId="21947"/>
    <cellStyle name="Comma 97" xfId="21921"/>
    <cellStyle name="Comma0" xfId="1513"/>
    <cellStyle name="Currency" xfId="27898" builtinId="4"/>
    <cellStyle name="Currency 10" xfId="1514"/>
    <cellStyle name="Currency 10 10" xfId="1515"/>
    <cellStyle name="Currency 10 11" xfId="1516"/>
    <cellStyle name="Currency 10 12" xfId="1517"/>
    <cellStyle name="Currency 10 13" xfId="1518"/>
    <cellStyle name="Currency 10 14" xfId="1519"/>
    <cellStyle name="Currency 10 15" xfId="1520"/>
    <cellStyle name="Currency 10 16" xfId="1521"/>
    <cellStyle name="Currency 10 17" xfId="1522"/>
    <cellStyle name="Currency 10 18" xfId="1523"/>
    <cellStyle name="Currency 10 19" xfId="1524"/>
    <cellStyle name="Currency 10 2" xfId="1525"/>
    <cellStyle name="Currency 10 20" xfId="1526"/>
    <cellStyle name="Currency 10 21" xfId="1527"/>
    <cellStyle name="Currency 10 22" xfId="1528"/>
    <cellStyle name="Currency 10 23" xfId="1529"/>
    <cellStyle name="Currency 10 24" xfId="1530"/>
    <cellStyle name="Currency 10 25" xfId="1531"/>
    <cellStyle name="Currency 10 26" xfId="1532"/>
    <cellStyle name="Currency 10 27" xfId="1533"/>
    <cellStyle name="Currency 10 28" xfId="1534"/>
    <cellStyle name="Currency 10 29" xfId="1535"/>
    <cellStyle name="Currency 10 3" xfId="1536"/>
    <cellStyle name="Currency 10 30" xfId="1537"/>
    <cellStyle name="Currency 10 4" xfId="1538"/>
    <cellStyle name="Currency 10 5" xfId="1539"/>
    <cellStyle name="Currency 10 6" xfId="1540"/>
    <cellStyle name="Currency 10 7" xfId="1541"/>
    <cellStyle name="Currency 10 8" xfId="1542"/>
    <cellStyle name="Currency 10 9" xfId="1543"/>
    <cellStyle name="Currency 10_Note Calc" xfId="27320"/>
    <cellStyle name="Currency 11" xfId="1544"/>
    <cellStyle name="Currency 11 10" xfId="1545"/>
    <cellStyle name="Currency 11 11" xfId="1546"/>
    <cellStyle name="Currency 11 12" xfId="1547"/>
    <cellStyle name="Currency 11 13" xfId="1548"/>
    <cellStyle name="Currency 11 14" xfId="1549"/>
    <cellStyle name="Currency 11 15" xfId="1550"/>
    <cellStyle name="Currency 11 16" xfId="1551"/>
    <cellStyle name="Currency 11 17" xfId="1552"/>
    <cellStyle name="Currency 11 18" xfId="1553"/>
    <cellStyle name="Currency 11 19" xfId="1554"/>
    <cellStyle name="Currency 11 2" xfId="1555"/>
    <cellStyle name="Currency 11 20" xfId="1556"/>
    <cellStyle name="Currency 11 21" xfId="1557"/>
    <cellStyle name="Currency 11 22" xfId="1558"/>
    <cellStyle name="Currency 11 23" xfId="1559"/>
    <cellStyle name="Currency 11 24" xfId="1560"/>
    <cellStyle name="Currency 11 25" xfId="1561"/>
    <cellStyle name="Currency 11 26" xfId="1562"/>
    <cellStyle name="Currency 11 27" xfId="1563"/>
    <cellStyle name="Currency 11 28" xfId="1564"/>
    <cellStyle name="Currency 11 29" xfId="1565"/>
    <cellStyle name="Currency 11 3" xfId="1566"/>
    <cellStyle name="Currency 11 30" xfId="1567"/>
    <cellStyle name="Currency 11 4" xfId="1568"/>
    <cellStyle name="Currency 11 5" xfId="1569"/>
    <cellStyle name="Currency 11 6" xfId="1570"/>
    <cellStyle name="Currency 11 7" xfId="1571"/>
    <cellStyle name="Currency 11 8" xfId="1572"/>
    <cellStyle name="Currency 11 9" xfId="1573"/>
    <cellStyle name="Currency 11_Note Calc" xfId="27321"/>
    <cellStyle name="Currency 12" xfId="1574"/>
    <cellStyle name="Currency 12 10" xfId="1575"/>
    <cellStyle name="Currency 12 11" xfId="1576"/>
    <cellStyle name="Currency 12 12" xfId="1577"/>
    <cellStyle name="Currency 12 13" xfId="1578"/>
    <cellStyle name="Currency 12 14" xfId="1579"/>
    <cellStyle name="Currency 12 15" xfId="1580"/>
    <cellStyle name="Currency 12 16" xfId="1581"/>
    <cellStyle name="Currency 12 17" xfId="1582"/>
    <cellStyle name="Currency 12 18" xfId="1583"/>
    <cellStyle name="Currency 12 19" xfId="1584"/>
    <cellStyle name="Currency 12 2" xfId="1585"/>
    <cellStyle name="Currency 12 20" xfId="1586"/>
    <cellStyle name="Currency 12 21" xfId="1587"/>
    <cellStyle name="Currency 12 22" xfId="1588"/>
    <cellStyle name="Currency 12 23" xfId="1589"/>
    <cellStyle name="Currency 12 24" xfId="1590"/>
    <cellStyle name="Currency 12 25" xfId="1591"/>
    <cellStyle name="Currency 12 26" xfId="1592"/>
    <cellStyle name="Currency 12 27" xfId="1593"/>
    <cellStyle name="Currency 12 28" xfId="1594"/>
    <cellStyle name="Currency 12 29" xfId="1595"/>
    <cellStyle name="Currency 12 3" xfId="1596"/>
    <cellStyle name="Currency 12 30" xfId="1597"/>
    <cellStyle name="Currency 12 4" xfId="1598"/>
    <cellStyle name="Currency 12 5" xfId="1599"/>
    <cellStyle name="Currency 12 6" xfId="1600"/>
    <cellStyle name="Currency 12 7" xfId="1601"/>
    <cellStyle name="Currency 12 8" xfId="1602"/>
    <cellStyle name="Currency 12 9" xfId="1603"/>
    <cellStyle name="Currency 12_Note Calc" xfId="27322"/>
    <cellStyle name="Currency 13" xfId="1604"/>
    <cellStyle name="Currency 13 10" xfId="1605"/>
    <cellStyle name="Currency 13 11" xfId="1606"/>
    <cellStyle name="Currency 13 12" xfId="1607"/>
    <cellStyle name="Currency 13 13" xfId="1608"/>
    <cellStyle name="Currency 13 14" xfId="1609"/>
    <cellStyle name="Currency 13 15" xfId="1610"/>
    <cellStyle name="Currency 13 16" xfId="1611"/>
    <cellStyle name="Currency 13 17" xfId="1612"/>
    <cellStyle name="Currency 13 18" xfId="1613"/>
    <cellStyle name="Currency 13 19" xfId="1614"/>
    <cellStyle name="Currency 13 2" xfId="1615"/>
    <cellStyle name="Currency 13 20" xfId="1616"/>
    <cellStyle name="Currency 13 21" xfId="1617"/>
    <cellStyle name="Currency 13 22" xfId="1618"/>
    <cellStyle name="Currency 13 23" xfId="1619"/>
    <cellStyle name="Currency 13 24" xfId="1620"/>
    <cellStyle name="Currency 13 25" xfId="1621"/>
    <cellStyle name="Currency 13 26" xfId="1622"/>
    <cellStyle name="Currency 13 27" xfId="1623"/>
    <cellStyle name="Currency 13 28" xfId="1624"/>
    <cellStyle name="Currency 13 29" xfId="1625"/>
    <cellStyle name="Currency 13 3" xfId="1626"/>
    <cellStyle name="Currency 13 30" xfId="1627"/>
    <cellStyle name="Currency 13 4" xfId="1628"/>
    <cellStyle name="Currency 13 5" xfId="1629"/>
    <cellStyle name="Currency 13 6" xfId="1630"/>
    <cellStyle name="Currency 13 7" xfId="1631"/>
    <cellStyle name="Currency 13 8" xfId="1632"/>
    <cellStyle name="Currency 13 9" xfId="1633"/>
    <cellStyle name="Currency 13_Note Calc" xfId="27323"/>
    <cellStyle name="Currency 14" xfId="1634"/>
    <cellStyle name="Currency 14 10" xfId="1635"/>
    <cellStyle name="Currency 14 11" xfId="1636"/>
    <cellStyle name="Currency 14 12" xfId="1637"/>
    <cellStyle name="Currency 14 13" xfId="1638"/>
    <cellStyle name="Currency 14 14" xfId="1639"/>
    <cellStyle name="Currency 14 15" xfId="1640"/>
    <cellStyle name="Currency 14 16" xfId="1641"/>
    <cellStyle name="Currency 14 17" xfId="1642"/>
    <cellStyle name="Currency 14 18" xfId="1643"/>
    <cellStyle name="Currency 14 19" xfId="1644"/>
    <cellStyle name="Currency 14 2" xfId="1645"/>
    <cellStyle name="Currency 14 20" xfId="1646"/>
    <cellStyle name="Currency 14 21" xfId="1647"/>
    <cellStyle name="Currency 14 22" xfId="1648"/>
    <cellStyle name="Currency 14 23" xfId="1649"/>
    <cellStyle name="Currency 14 24" xfId="1650"/>
    <cellStyle name="Currency 14 25" xfId="1651"/>
    <cellStyle name="Currency 14 26" xfId="1652"/>
    <cellStyle name="Currency 14 27" xfId="1653"/>
    <cellStyle name="Currency 14 28" xfId="1654"/>
    <cellStyle name="Currency 14 29" xfId="1655"/>
    <cellStyle name="Currency 14 3" xfId="1656"/>
    <cellStyle name="Currency 14 30" xfId="1657"/>
    <cellStyle name="Currency 14 4" xfId="1658"/>
    <cellStyle name="Currency 14 5" xfId="1659"/>
    <cellStyle name="Currency 14 6" xfId="1660"/>
    <cellStyle name="Currency 14 7" xfId="1661"/>
    <cellStyle name="Currency 14 8" xfId="1662"/>
    <cellStyle name="Currency 14 9" xfId="1663"/>
    <cellStyle name="Currency 14_Note Calc" xfId="27324"/>
    <cellStyle name="Currency 15" xfId="1664"/>
    <cellStyle name="Currency 15 10" xfId="1665"/>
    <cellStyle name="Currency 15 11" xfId="1666"/>
    <cellStyle name="Currency 15 12" xfId="1667"/>
    <cellStyle name="Currency 15 13" xfId="1668"/>
    <cellStyle name="Currency 15 14" xfId="1669"/>
    <cellStyle name="Currency 15 15" xfId="1670"/>
    <cellStyle name="Currency 15 16" xfId="1671"/>
    <cellStyle name="Currency 15 17" xfId="1672"/>
    <cellStyle name="Currency 15 18" xfId="1673"/>
    <cellStyle name="Currency 15 19" xfId="1674"/>
    <cellStyle name="Currency 15 2" xfId="1675"/>
    <cellStyle name="Currency 15 20" xfId="1676"/>
    <cellStyle name="Currency 15 21" xfId="1677"/>
    <cellStyle name="Currency 15 22" xfId="1678"/>
    <cellStyle name="Currency 15 23" xfId="1679"/>
    <cellStyle name="Currency 15 24" xfId="1680"/>
    <cellStyle name="Currency 15 25" xfId="1681"/>
    <cellStyle name="Currency 15 26" xfId="1682"/>
    <cellStyle name="Currency 15 27" xfId="1683"/>
    <cellStyle name="Currency 15 28" xfId="1684"/>
    <cellStyle name="Currency 15 29" xfId="1685"/>
    <cellStyle name="Currency 15 3" xfId="1686"/>
    <cellStyle name="Currency 15 30" xfId="1687"/>
    <cellStyle name="Currency 15 4" xfId="1688"/>
    <cellStyle name="Currency 15 5" xfId="1689"/>
    <cellStyle name="Currency 15 6" xfId="1690"/>
    <cellStyle name="Currency 15 7" xfId="1691"/>
    <cellStyle name="Currency 15 8" xfId="1692"/>
    <cellStyle name="Currency 15 9" xfId="1693"/>
    <cellStyle name="Currency 15_Note Calc" xfId="27325"/>
    <cellStyle name="Currency 16" xfId="1694"/>
    <cellStyle name="Currency 16 10" xfId="1695"/>
    <cellStyle name="Currency 16 11" xfId="1696"/>
    <cellStyle name="Currency 16 12" xfId="1697"/>
    <cellStyle name="Currency 16 13" xfId="1698"/>
    <cellStyle name="Currency 16 14" xfId="1699"/>
    <cellStyle name="Currency 16 15" xfId="1700"/>
    <cellStyle name="Currency 16 16" xfId="1701"/>
    <cellStyle name="Currency 16 17" xfId="1702"/>
    <cellStyle name="Currency 16 18" xfId="1703"/>
    <cellStyle name="Currency 16 19" xfId="1704"/>
    <cellStyle name="Currency 16 2" xfId="1705"/>
    <cellStyle name="Currency 16 20" xfId="1706"/>
    <cellStyle name="Currency 16 21" xfId="1707"/>
    <cellStyle name="Currency 16 22" xfId="1708"/>
    <cellStyle name="Currency 16 23" xfId="1709"/>
    <cellStyle name="Currency 16 24" xfId="1710"/>
    <cellStyle name="Currency 16 25" xfId="1711"/>
    <cellStyle name="Currency 16 26" xfId="1712"/>
    <cellStyle name="Currency 16 27" xfId="1713"/>
    <cellStyle name="Currency 16 28" xfId="1714"/>
    <cellStyle name="Currency 16 29" xfId="1715"/>
    <cellStyle name="Currency 16 3" xfId="1716"/>
    <cellStyle name="Currency 16 30" xfId="1717"/>
    <cellStyle name="Currency 16 4" xfId="1718"/>
    <cellStyle name="Currency 16 5" xfId="1719"/>
    <cellStyle name="Currency 16 6" xfId="1720"/>
    <cellStyle name="Currency 16 7" xfId="1721"/>
    <cellStyle name="Currency 16 8" xfId="1722"/>
    <cellStyle name="Currency 16 9" xfId="1723"/>
    <cellStyle name="Currency 16_Note Calc" xfId="27326"/>
    <cellStyle name="Currency 17" xfId="1724"/>
    <cellStyle name="Currency 17 10" xfId="1725"/>
    <cellStyle name="Currency 17 11" xfId="1726"/>
    <cellStyle name="Currency 17 12" xfId="1727"/>
    <cellStyle name="Currency 17 13" xfId="1728"/>
    <cellStyle name="Currency 17 14" xfId="1729"/>
    <cellStyle name="Currency 17 15" xfId="1730"/>
    <cellStyle name="Currency 17 16" xfId="1731"/>
    <cellStyle name="Currency 17 17" xfId="1732"/>
    <cellStyle name="Currency 17 18" xfId="1733"/>
    <cellStyle name="Currency 17 19" xfId="1734"/>
    <cellStyle name="Currency 17 2" xfId="1735"/>
    <cellStyle name="Currency 17 20" xfId="1736"/>
    <cellStyle name="Currency 17 21" xfId="1737"/>
    <cellStyle name="Currency 17 22" xfId="1738"/>
    <cellStyle name="Currency 17 23" xfId="1739"/>
    <cellStyle name="Currency 17 24" xfId="1740"/>
    <cellStyle name="Currency 17 25" xfId="1741"/>
    <cellStyle name="Currency 17 26" xfId="1742"/>
    <cellStyle name="Currency 17 27" xfId="1743"/>
    <cellStyle name="Currency 17 28" xfId="1744"/>
    <cellStyle name="Currency 17 29" xfId="1745"/>
    <cellStyle name="Currency 17 3" xfId="1746"/>
    <cellStyle name="Currency 17 30" xfId="1747"/>
    <cellStyle name="Currency 17 4" xfId="1748"/>
    <cellStyle name="Currency 17 5" xfId="1749"/>
    <cellStyle name="Currency 17 6" xfId="1750"/>
    <cellStyle name="Currency 17 7" xfId="1751"/>
    <cellStyle name="Currency 17 8" xfId="1752"/>
    <cellStyle name="Currency 17 9" xfId="1753"/>
    <cellStyle name="Currency 17_Note Calc" xfId="27327"/>
    <cellStyle name="Currency 18" xfId="1754"/>
    <cellStyle name="Currency 18 10" xfId="1755"/>
    <cellStyle name="Currency 18 11" xfId="1756"/>
    <cellStyle name="Currency 18 12" xfId="1757"/>
    <cellStyle name="Currency 18 13" xfId="1758"/>
    <cellStyle name="Currency 18 14" xfId="1759"/>
    <cellStyle name="Currency 18 15" xfId="1760"/>
    <cellStyle name="Currency 18 16" xfId="1761"/>
    <cellStyle name="Currency 18 17" xfId="1762"/>
    <cellStyle name="Currency 18 18" xfId="1763"/>
    <cellStyle name="Currency 18 19" xfId="1764"/>
    <cellStyle name="Currency 18 2" xfId="1765"/>
    <cellStyle name="Currency 18 20" xfId="1766"/>
    <cellStyle name="Currency 18 21" xfId="1767"/>
    <cellStyle name="Currency 18 22" xfId="1768"/>
    <cellStyle name="Currency 18 23" xfId="1769"/>
    <cellStyle name="Currency 18 24" xfId="1770"/>
    <cellStyle name="Currency 18 25" xfId="1771"/>
    <cellStyle name="Currency 18 26" xfId="1772"/>
    <cellStyle name="Currency 18 27" xfId="1773"/>
    <cellStyle name="Currency 18 28" xfId="1774"/>
    <cellStyle name="Currency 18 29" xfId="1775"/>
    <cellStyle name="Currency 18 3" xfId="1776"/>
    <cellStyle name="Currency 18 30" xfId="1777"/>
    <cellStyle name="Currency 18 4" xfId="1778"/>
    <cellStyle name="Currency 18 5" xfId="1779"/>
    <cellStyle name="Currency 18 6" xfId="1780"/>
    <cellStyle name="Currency 18 7" xfId="1781"/>
    <cellStyle name="Currency 18 8" xfId="1782"/>
    <cellStyle name="Currency 18 9" xfId="1783"/>
    <cellStyle name="Currency 18_Note Calc" xfId="27328"/>
    <cellStyle name="Currency 19" xfId="1784"/>
    <cellStyle name="Currency 19 10" xfId="1785"/>
    <cellStyle name="Currency 19 11" xfId="1786"/>
    <cellStyle name="Currency 19 12" xfId="1787"/>
    <cellStyle name="Currency 19 13" xfId="1788"/>
    <cellStyle name="Currency 19 14" xfId="1789"/>
    <cellStyle name="Currency 19 15" xfId="1790"/>
    <cellStyle name="Currency 19 16" xfId="1791"/>
    <cellStyle name="Currency 19 17" xfId="1792"/>
    <cellStyle name="Currency 19 18" xfId="1793"/>
    <cellStyle name="Currency 19 19" xfId="1794"/>
    <cellStyle name="Currency 19 2" xfId="1795"/>
    <cellStyle name="Currency 19 20" xfId="1796"/>
    <cellStyle name="Currency 19 21" xfId="1797"/>
    <cellStyle name="Currency 19 22" xfId="1798"/>
    <cellStyle name="Currency 19 23" xfId="1799"/>
    <cellStyle name="Currency 19 24" xfId="1800"/>
    <cellStyle name="Currency 19 25" xfId="1801"/>
    <cellStyle name="Currency 19 26" xfId="1802"/>
    <cellStyle name="Currency 19 27" xfId="1803"/>
    <cellStyle name="Currency 19 28" xfId="1804"/>
    <cellStyle name="Currency 19 29" xfId="1805"/>
    <cellStyle name="Currency 19 3" xfId="1806"/>
    <cellStyle name="Currency 19 30" xfId="1807"/>
    <cellStyle name="Currency 19 4" xfId="1808"/>
    <cellStyle name="Currency 19 5" xfId="1809"/>
    <cellStyle name="Currency 19 6" xfId="1810"/>
    <cellStyle name="Currency 19 7" xfId="1811"/>
    <cellStyle name="Currency 19 8" xfId="1812"/>
    <cellStyle name="Currency 19 9" xfId="1813"/>
    <cellStyle name="Currency 19_Note Calc" xfId="27329"/>
    <cellStyle name="Currency 2" xfId="1814"/>
    <cellStyle name="Currency 2 10" xfId="1815"/>
    <cellStyle name="Currency 2 11" xfId="1816"/>
    <cellStyle name="Currency 2 12" xfId="1817"/>
    <cellStyle name="Currency 2 13" xfId="1818"/>
    <cellStyle name="Currency 2 14" xfId="1819"/>
    <cellStyle name="Currency 2 15" xfId="1820"/>
    <cellStyle name="Currency 2 16" xfId="1821"/>
    <cellStyle name="Currency 2 17" xfId="1822"/>
    <cellStyle name="Currency 2 18" xfId="1823"/>
    <cellStyle name="Currency 2 19" xfId="1824"/>
    <cellStyle name="Currency 2 2" xfId="1825"/>
    <cellStyle name="Currency 2 2 2" xfId="18262"/>
    <cellStyle name="Currency 2 2_Note Calc" xfId="27331"/>
    <cellStyle name="Currency 2 20" xfId="1826"/>
    <cellStyle name="Currency 2 21" xfId="1827"/>
    <cellStyle name="Currency 2 22" xfId="1828"/>
    <cellStyle name="Currency 2 23" xfId="1829"/>
    <cellStyle name="Currency 2 24" xfId="1830"/>
    <cellStyle name="Currency 2 25" xfId="1831"/>
    <cellStyle name="Currency 2 26" xfId="1832"/>
    <cellStyle name="Currency 2 27" xfId="1833"/>
    <cellStyle name="Currency 2 28" xfId="1834"/>
    <cellStyle name="Currency 2 29" xfId="1835"/>
    <cellStyle name="Currency 2 3" xfId="1836"/>
    <cellStyle name="Currency 2 3 2" xfId="18263"/>
    <cellStyle name="Currency 2 3 2 2" xfId="21997"/>
    <cellStyle name="Currency 2 3 2_Note Calc" xfId="27333"/>
    <cellStyle name="Currency 2 3_Note Calc" xfId="27332"/>
    <cellStyle name="Currency 2 30" xfId="1837"/>
    <cellStyle name="Currency 2 31" xfId="18261"/>
    <cellStyle name="Currency 2 32" xfId="21934"/>
    <cellStyle name="Currency 2 33" xfId="21929"/>
    <cellStyle name="Currency 2 4" xfId="1838"/>
    <cellStyle name="Currency 2 5" xfId="1839"/>
    <cellStyle name="Currency 2 6" xfId="1840"/>
    <cellStyle name="Currency 2 7" xfId="1841"/>
    <cellStyle name="Currency 2 8" xfId="1842"/>
    <cellStyle name="Currency 2 9" xfId="1843"/>
    <cellStyle name="Currency 2_Note Calc" xfId="27330"/>
    <cellStyle name="Currency 20" xfId="1844"/>
    <cellStyle name="Currency 20 10" xfId="1845"/>
    <cellStyle name="Currency 20 11" xfId="1846"/>
    <cellStyle name="Currency 20 12" xfId="1847"/>
    <cellStyle name="Currency 20 13" xfId="1848"/>
    <cellStyle name="Currency 20 14" xfId="1849"/>
    <cellStyle name="Currency 20 15" xfId="1850"/>
    <cellStyle name="Currency 20 16" xfId="1851"/>
    <cellStyle name="Currency 20 17" xfId="1852"/>
    <cellStyle name="Currency 20 18" xfId="1853"/>
    <cellStyle name="Currency 20 19" xfId="1854"/>
    <cellStyle name="Currency 20 2" xfId="1855"/>
    <cellStyle name="Currency 20 20" xfId="1856"/>
    <cellStyle name="Currency 20 21" xfId="1857"/>
    <cellStyle name="Currency 20 22" xfId="1858"/>
    <cellStyle name="Currency 20 23" xfId="1859"/>
    <cellStyle name="Currency 20 24" xfId="1860"/>
    <cellStyle name="Currency 20 25" xfId="1861"/>
    <cellStyle name="Currency 20 26" xfId="1862"/>
    <cellStyle name="Currency 20 27" xfId="1863"/>
    <cellStyle name="Currency 20 28" xfId="1864"/>
    <cellStyle name="Currency 20 29" xfId="1865"/>
    <cellStyle name="Currency 20 3" xfId="1866"/>
    <cellStyle name="Currency 20 30" xfId="1867"/>
    <cellStyle name="Currency 20 4" xfId="1868"/>
    <cellStyle name="Currency 20 5" xfId="1869"/>
    <cellStyle name="Currency 20 6" xfId="1870"/>
    <cellStyle name="Currency 20 7" xfId="1871"/>
    <cellStyle name="Currency 20 8" xfId="1872"/>
    <cellStyle name="Currency 20 9" xfId="1873"/>
    <cellStyle name="Currency 20_Note Calc" xfId="27334"/>
    <cellStyle name="Currency 21" xfId="1874"/>
    <cellStyle name="Currency 21 10" xfId="1875"/>
    <cellStyle name="Currency 21 11" xfId="1876"/>
    <cellStyle name="Currency 21 12" xfId="1877"/>
    <cellStyle name="Currency 21 13" xfId="1878"/>
    <cellStyle name="Currency 21 14" xfId="1879"/>
    <cellStyle name="Currency 21 15" xfId="1880"/>
    <cellStyle name="Currency 21 16" xfId="1881"/>
    <cellStyle name="Currency 21 17" xfId="1882"/>
    <cellStyle name="Currency 21 18" xfId="1883"/>
    <cellStyle name="Currency 21 19" xfId="1884"/>
    <cellStyle name="Currency 21 2" xfId="1885"/>
    <cellStyle name="Currency 21 20" xfId="1886"/>
    <cellStyle name="Currency 21 21" xfId="1887"/>
    <cellStyle name="Currency 21 22" xfId="1888"/>
    <cellStyle name="Currency 21 23" xfId="1889"/>
    <cellStyle name="Currency 21 24" xfId="1890"/>
    <cellStyle name="Currency 21 25" xfId="1891"/>
    <cellStyle name="Currency 21 26" xfId="1892"/>
    <cellStyle name="Currency 21 27" xfId="1893"/>
    <cellStyle name="Currency 21 28" xfId="1894"/>
    <cellStyle name="Currency 21 29" xfId="1895"/>
    <cellStyle name="Currency 21 3" xfId="1896"/>
    <cellStyle name="Currency 21 30" xfId="1897"/>
    <cellStyle name="Currency 21 4" xfId="1898"/>
    <cellStyle name="Currency 21 5" xfId="1899"/>
    <cellStyle name="Currency 21 6" xfId="1900"/>
    <cellStyle name="Currency 21 7" xfId="1901"/>
    <cellStyle name="Currency 21 8" xfId="1902"/>
    <cellStyle name="Currency 21 9" xfId="1903"/>
    <cellStyle name="Currency 21_Note Calc" xfId="27335"/>
    <cellStyle name="Currency 22" xfId="1904"/>
    <cellStyle name="Currency 22 10" xfId="1905"/>
    <cellStyle name="Currency 22 11" xfId="1906"/>
    <cellStyle name="Currency 22 12" xfId="1907"/>
    <cellStyle name="Currency 22 13" xfId="1908"/>
    <cellStyle name="Currency 22 14" xfId="1909"/>
    <cellStyle name="Currency 22 15" xfId="1910"/>
    <cellStyle name="Currency 22 16" xfId="1911"/>
    <cellStyle name="Currency 22 17" xfId="1912"/>
    <cellStyle name="Currency 22 18" xfId="1913"/>
    <cellStyle name="Currency 22 19" xfId="1914"/>
    <cellStyle name="Currency 22 2" xfId="1915"/>
    <cellStyle name="Currency 22 20" xfId="1916"/>
    <cellStyle name="Currency 22 21" xfId="1917"/>
    <cellStyle name="Currency 22 22" xfId="1918"/>
    <cellStyle name="Currency 22 23" xfId="1919"/>
    <cellStyle name="Currency 22 24" xfId="1920"/>
    <cellStyle name="Currency 22 25" xfId="1921"/>
    <cellStyle name="Currency 22 26" xfId="1922"/>
    <cellStyle name="Currency 22 27" xfId="1923"/>
    <cellStyle name="Currency 22 28" xfId="1924"/>
    <cellStyle name="Currency 22 29" xfId="1925"/>
    <cellStyle name="Currency 22 3" xfId="1926"/>
    <cellStyle name="Currency 22 30" xfId="1927"/>
    <cellStyle name="Currency 22 4" xfId="1928"/>
    <cellStyle name="Currency 22 5" xfId="1929"/>
    <cellStyle name="Currency 22 6" xfId="1930"/>
    <cellStyle name="Currency 22 7" xfId="1931"/>
    <cellStyle name="Currency 22 8" xfId="1932"/>
    <cellStyle name="Currency 22 9" xfId="1933"/>
    <cellStyle name="Currency 22_Note Calc" xfId="27336"/>
    <cellStyle name="Currency 23" xfId="1934"/>
    <cellStyle name="Currency 23 10" xfId="1935"/>
    <cellStyle name="Currency 23 11" xfId="1936"/>
    <cellStyle name="Currency 23 12" xfId="1937"/>
    <cellStyle name="Currency 23 13" xfId="1938"/>
    <cellStyle name="Currency 23 14" xfId="1939"/>
    <cellStyle name="Currency 23 15" xfId="1940"/>
    <cellStyle name="Currency 23 16" xfId="1941"/>
    <cellStyle name="Currency 23 17" xfId="1942"/>
    <cellStyle name="Currency 23 18" xfId="1943"/>
    <cellStyle name="Currency 23 19" xfId="1944"/>
    <cellStyle name="Currency 23 2" xfId="1945"/>
    <cellStyle name="Currency 23 20" xfId="1946"/>
    <cellStyle name="Currency 23 21" xfId="1947"/>
    <cellStyle name="Currency 23 22" xfId="1948"/>
    <cellStyle name="Currency 23 23" xfId="1949"/>
    <cellStyle name="Currency 23 24" xfId="1950"/>
    <cellStyle name="Currency 23 25" xfId="1951"/>
    <cellStyle name="Currency 23 26" xfId="1952"/>
    <cellStyle name="Currency 23 27" xfId="1953"/>
    <cellStyle name="Currency 23 28" xfId="1954"/>
    <cellStyle name="Currency 23 29" xfId="1955"/>
    <cellStyle name="Currency 23 3" xfId="1956"/>
    <cellStyle name="Currency 23 30" xfId="1957"/>
    <cellStyle name="Currency 23 4" xfId="1958"/>
    <cellStyle name="Currency 23 5" xfId="1959"/>
    <cellStyle name="Currency 23 6" xfId="1960"/>
    <cellStyle name="Currency 23 7" xfId="1961"/>
    <cellStyle name="Currency 23 8" xfId="1962"/>
    <cellStyle name="Currency 23 9" xfId="1963"/>
    <cellStyle name="Currency 23_Note Calc" xfId="27337"/>
    <cellStyle name="Currency 24" xfId="1964"/>
    <cellStyle name="Currency 24 10" xfId="1965"/>
    <cellStyle name="Currency 24 11" xfId="1966"/>
    <cellStyle name="Currency 24 12" xfId="1967"/>
    <cellStyle name="Currency 24 13" xfId="1968"/>
    <cellStyle name="Currency 24 14" xfId="1969"/>
    <cellStyle name="Currency 24 15" xfId="1970"/>
    <cellStyle name="Currency 24 16" xfId="1971"/>
    <cellStyle name="Currency 24 17" xfId="1972"/>
    <cellStyle name="Currency 24 18" xfId="1973"/>
    <cellStyle name="Currency 24 19" xfId="1974"/>
    <cellStyle name="Currency 24 2" xfId="1975"/>
    <cellStyle name="Currency 24 20" xfId="1976"/>
    <cellStyle name="Currency 24 21" xfId="1977"/>
    <cellStyle name="Currency 24 22" xfId="1978"/>
    <cellStyle name="Currency 24 23" xfId="1979"/>
    <cellStyle name="Currency 24 24" xfId="1980"/>
    <cellStyle name="Currency 24 25" xfId="1981"/>
    <cellStyle name="Currency 24 26" xfId="1982"/>
    <cellStyle name="Currency 24 27" xfId="1983"/>
    <cellStyle name="Currency 24 28" xfId="1984"/>
    <cellStyle name="Currency 24 29" xfId="1985"/>
    <cellStyle name="Currency 24 3" xfId="1986"/>
    <cellStyle name="Currency 24 30" xfId="1987"/>
    <cellStyle name="Currency 24 4" xfId="1988"/>
    <cellStyle name="Currency 24 5" xfId="1989"/>
    <cellStyle name="Currency 24 6" xfId="1990"/>
    <cellStyle name="Currency 24 7" xfId="1991"/>
    <cellStyle name="Currency 24 8" xfId="1992"/>
    <cellStyle name="Currency 24 9" xfId="1993"/>
    <cellStyle name="Currency 24_Note Calc" xfId="27338"/>
    <cellStyle name="Currency 25" xfId="1994"/>
    <cellStyle name="Currency 25 10" xfId="1995"/>
    <cellStyle name="Currency 25 11" xfId="1996"/>
    <cellStyle name="Currency 25 12" xfId="1997"/>
    <cellStyle name="Currency 25 13" xfId="1998"/>
    <cellStyle name="Currency 25 14" xfId="1999"/>
    <cellStyle name="Currency 25 15" xfId="2000"/>
    <cellStyle name="Currency 25 16" xfId="2001"/>
    <cellStyle name="Currency 25 17" xfId="2002"/>
    <cellStyle name="Currency 25 18" xfId="2003"/>
    <cellStyle name="Currency 25 19" xfId="2004"/>
    <cellStyle name="Currency 25 2" xfId="2005"/>
    <cellStyle name="Currency 25 20" xfId="2006"/>
    <cellStyle name="Currency 25 21" xfId="2007"/>
    <cellStyle name="Currency 25 22" xfId="2008"/>
    <cellStyle name="Currency 25 23" xfId="2009"/>
    <cellStyle name="Currency 25 24" xfId="2010"/>
    <cellStyle name="Currency 25 25" xfId="2011"/>
    <cellStyle name="Currency 25 26" xfId="2012"/>
    <cellStyle name="Currency 25 27" xfId="2013"/>
    <cellStyle name="Currency 25 28" xfId="2014"/>
    <cellStyle name="Currency 25 29" xfId="2015"/>
    <cellStyle name="Currency 25 3" xfId="2016"/>
    <cellStyle name="Currency 25 30" xfId="2017"/>
    <cellStyle name="Currency 25 4" xfId="2018"/>
    <cellStyle name="Currency 25 5" xfId="2019"/>
    <cellStyle name="Currency 25 6" xfId="2020"/>
    <cellStyle name="Currency 25 7" xfId="2021"/>
    <cellStyle name="Currency 25 8" xfId="2022"/>
    <cellStyle name="Currency 25 9" xfId="2023"/>
    <cellStyle name="Currency 25_Note Calc" xfId="27339"/>
    <cellStyle name="Currency 26" xfId="2024"/>
    <cellStyle name="Currency 26 10" xfId="2025"/>
    <cellStyle name="Currency 26 11" xfId="2026"/>
    <cellStyle name="Currency 26 12" xfId="2027"/>
    <cellStyle name="Currency 26 13" xfId="2028"/>
    <cellStyle name="Currency 26 14" xfId="2029"/>
    <cellStyle name="Currency 26 15" xfId="2030"/>
    <cellStyle name="Currency 26 16" xfId="2031"/>
    <cellStyle name="Currency 26 17" xfId="2032"/>
    <cellStyle name="Currency 26 18" xfId="2033"/>
    <cellStyle name="Currency 26 19" xfId="2034"/>
    <cellStyle name="Currency 26 2" xfId="2035"/>
    <cellStyle name="Currency 26 20" xfId="2036"/>
    <cellStyle name="Currency 26 21" xfId="2037"/>
    <cellStyle name="Currency 26 22" xfId="2038"/>
    <cellStyle name="Currency 26 23" xfId="2039"/>
    <cellStyle name="Currency 26 24" xfId="2040"/>
    <cellStyle name="Currency 26 25" xfId="2041"/>
    <cellStyle name="Currency 26 26" xfId="2042"/>
    <cellStyle name="Currency 26 27" xfId="2043"/>
    <cellStyle name="Currency 26 28" xfId="2044"/>
    <cellStyle name="Currency 26 29" xfId="2045"/>
    <cellStyle name="Currency 26 3" xfId="2046"/>
    <cellStyle name="Currency 26 30" xfId="2047"/>
    <cellStyle name="Currency 26 4" xfId="2048"/>
    <cellStyle name="Currency 26 5" xfId="2049"/>
    <cellStyle name="Currency 26 6" xfId="2050"/>
    <cellStyle name="Currency 26 7" xfId="2051"/>
    <cellStyle name="Currency 26 8" xfId="2052"/>
    <cellStyle name="Currency 26 9" xfId="2053"/>
    <cellStyle name="Currency 26_Note Calc" xfId="27340"/>
    <cellStyle name="Currency 27" xfId="12260"/>
    <cellStyle name="Currency 3" xfId="2054"/>
    <cellStyle name="Currency 3 10" xfId="2055"/>
    <cellStyle name="Currency 3 11" xfId="2056"/>
    <cellStyle name="Currency 3 12" xfId="2057"/>
    <cellStyle name="Currency 3 13" xfId="2058"/>
    <cellStyle name="Currency 3 14" xfId="2059"/>
    <cellStyle name="Currency 3 15" xfId="2060"/>
    <cellStyle name="Currency 3 16" xfId="2061"/>
    <cellStyle name="Currency 3 17" xfId="2062"/>
    <cellStyle name="Currency 3 18" xfId="2063"/>
    <cellStyle name="Currency 3 19" xfId="2064"/>
    <cellStyle name="Currency 3 2" xfId="2065"/>
    <cellStyle name="Currency 3 20" xfId="2066"/>
    <cellStyle name="Currency 3 21" xfId="2067"/>
    <cellStyle name="Currency 3 22" xfId="2068"/>
    <cellStyle name="Currency 3 23" xfId="2069"/>
    <cellStyle name="Currency 3 24" xfId="2070"/>
    <cellStyle name="Currency 3 25" xfId="2071"/>
    <cellStyle name="Currency 3 26" xfId="2072"/>
    <cellStyle name="Currency 3 27" xfId="2073"/>
    <cellStyle name="Currency 3 28" xfId="2074"/>
    <cellStyle name="Currency 3 29" xfId="2075"/>
    <cellStyle name="Currency 3 3" xfId="2076"/>
    <cellStyle name="Currency 3 30" xfId="2077"/>
    <cellStyle name="Currency 3 31" xfId="18264"/>
    <cellStyle name="Currency 3 4" xfId="2078"/>
    <cellStyle name="Currency 3 5" xfId="2079"/>
    <cellStyle name="Currency 3 6" xfId="2080"/>
    <cellStyle name="Currency 3 7" xfId="2081"/>
    <cellStyle name="Currency 3 8" xfId="2082"/>
    <cellStyle name="Currency 3 9" xfId="2083"/>
    <cellStyle name="Currency 3_Note Calc" xfId="27341"/>
    <cellStyle name="Currency 4" xfId="2084"/>
    <cellStyle name="Currency 4 10" xfId="2085"/>
    <cellStyle name="Currency 4 11" xfId="2086"/>
    <cellStyle name="Currency 4 12" xfId="2087"/>
    <cellStyle name="Currency 4 13" xfId="2088"/>
    <cellStyle name="Currency 4 14" xfId="2089"/>
    <cellStyle name="Currency 4 15" xfId="2090"/>
    <cellStyle name="Currency 4 16" xfId="2091"/>
    <cellStyle name="Currency 4 17" xfId="2092"/>
    <cellStyle name="Currency 4 18" xfId="2093"/>
    <cellStyle name="Currency 4 19" xfId="2094"/>
    <cellStyle name="Currency 4 2" xfId="2095"/>
    <cellStyle name="Currency 4 20" xfId="2096"/>
    <cellStyle name="Currency 4 21" xfId="2097"/>
    <cellStyle name="Currency 4 22" xfId="2098"/>
    <cellStyle name="Currency 4 23" xfId="2099"/>
    <cellStyle name="Currency 4 24" xfId="2100"/>
    <cellStyle name="Currency 4 25" xfId="2101"/>
    <cellStyle name="Currency 4 26" xfId="2102"/>
    <cellStyle name="Currency 4 27" xfId="2103"/>
    <cellStyle name="Currency 4 28" xfId="2104"/>
    <cellStyle name="Currency 4 29" xfId="2105"/>
    <cellStyle name="Currency 4 3" xfId="2106"/>
    <cellStyle name="Currency 4 30" xfId="2107"/>
    <cellStyle name="Currency 4 31" xfId="18265"/>
    <cellStyle name="Currency 4 4" xfId="2108"/>
    <cellStyle name="Currency 4 5" xfId="2109"/>
    <cellStyle name="Currency 4 6" xfId="2110"/>
    <cellStyle name="Currency 4 7" xfId="2111"/>
    <cellStyle name="Currency 4 8" xfId="2112"/>
    <cellStyle name="Currency 4 9" xfId="2113"/>
    <cellStyle name="Currency 4_Note Calc" xfId="27342"/>
    <cellStyle name="Currency 5" xfId="2114"/>
    <cellStyle name="Currency 5 10" xfId="2115"/>
    <cellStyle name="Currency 5 11" xfId="2116"/>
    <cellStyle name="Currency 5 12" xfId="2117"/>
    <cellStyle name="Currency 5 13" xfId="2118"/>
    <cellStyle name="Currency 5 14" xfId="2119"/>
    <cellStyle name="Currency 5 15" xfId="2120"/>
    <cellStyle name="Currency 5 16" xfId="2121"/>
    <cellStyle name="Currency 5 17" xfId="2122"/>
    <cellStyle name="Currency 5 18" xfId="2123"/>
    <cellStyle name="Currency 5 19" xfId="2124"/>
    <cellStyle name="Currency 5 2" xfId="2125"/>
    <cellStyle name="Currency 5 20" xfId="2126"/>
    <cellStyle name="Currency 5 21" xfId="2127"/>
    <cellStyle name="Currency 5 22" xfId="2128"/>
    <cellStyle name="Currency 5 23" xfId="2129"/>
    <cellStyle name="Currency 5 24" xfId="2130"/>
    <cellStyle name="Currency 5 25" xfId="2131"/>
    <cellStyle name="Currency 5 26" xfId="2132"/>
    <cellStyle name="Currency 5 27" xfId="2133"/>
    <cellStyle name="Currency 5 28" xfId="2134"/>
    <cellStyle name="Currency 5 29" xfId="2135"/>
    <cellStyle name="Currency 5 3" xfId="2136"/>
    <cellStyle name="Currency 5 30" xfId="2137"/>
    <cellStyle name="Currency 5 31" xfId="18266"/>
    <cellStyle name="Currency 5 4" xfId="2138"/>
    <cellStyle name="Currency 5 5" xfId="2139"/>
    <cellStyle name="Currency 5 6" xfId="2140"/>
    <cellStyle name="Currency 5 7" xfId="2141"/>
    <cellStyle name="Currency 5 8" xfId="2142"/>
    <cellStyle name="Currency 5 9" xfId="2143"/>
    <cellStyle name="Currency 5_Note Calc" xfId="27343"/>
    <cellStyle name="Currency 6" xfId="2144"/>
    <cellStyle name="Currency 6 10" xfId="2145"/>
    <cellStyle name="Currency 6 11" xfId="2146"/>
    <cellStyle name="Currency 6 12" xfId="2147"/>
    <cellStyle name="Currency 6 13" xfId="2148"/>
    <cellStyle name="Currency 6 14" xfId="2149"/>
    <cellStyle name="Currency 6 15" xfId="2150"/>
    <cellStyle name="Currency 6 16" xfId="2151"/>
    <cellStyle name="Currency 6 17" xfId="2152"/>
    <cellStyle name="Currency 6 18" xfId="2153"/>
    <cellStyle name="Currency 6 19" xfId="2154"/>
    <cellStyle name="Currency 6 2" xfId="2155"/>
    <cellStyle name="Currency 6 20" xfId="2156"/>
    <cellStyle name="Currency 6 21" xfId="2157"/>
    <cellStyle name="Currency 6 22" xfId="2158"/>
    <cellStyle name="Currency 6 23" xfId="2159"/>
    <cellStyle name="Currency 6 24" xfId="2160"/>
    <cellStyle name="Currency 6 25" xfId="2161"/>
    <cellStyle name="Currency 6 26" xfId="2162"/>
    <cellStyle name="Currency 6 27" xfId="2163"/>
    <cellStyle name="Currency 6 28" xfId="2164"/>
    <cellStyle name="Currency 6 29" xfId="2165"/>
    <cellStyle name="Currency 6 3" xfId="2166"/>
    <cellStyle name="Currency 6 30" xfId="2167"/>
    <cellStyle name="Currency 6 31" xfId="18267"/>
    <cellStyle name="Currency 6 4" xfId="2168"/>
    <cellStyle name="Currency 6 5" xfId="2169"/>
    <cellStyle name="Currency 6 6" xfId="2170"/>
    <cellStyle name="Currency 6 7" xfId="2171"/>
    <cellStyle name="Currency 6 8" xfId="2172"/>
    <cellStyle name="Currency 6 9" xfId="2173"/>
    <cellStyle name="Currency 6_Note Calc" xfId="27344"/>
    <cellStyle name="Currency 7" xfId="2174"/>
    <cellStyle name="Currency 7 10" xfId="2175"/>
    <cellStyle name="Currency 7 11" xfId="2176"/>
    <cellStyle name="Currency 7 12" xfId="2177"/>
    <cellStyle name="Currency 7 13" xfId="2178"/>
    <cellStyle name="Currency 7 14" xfId="2179"/>
    <cellStyle name="Currency 7 15" xfId="2180"/>
    <cellStyle name="Currency 7 16" xfId="2181"/>
    <cellStyle name="Currency 7 17" xfId="2182"/>
    <cellStyle name="Currency 7 18" xfId="2183"/>
    <cellStyle name="Currency 7 19" xfId="2184"/>
    <cellStyle name="Currency 7 2" xfId="2185"/>
    <cellStyle name="Currency 7 20" xfId="2186"/>
    <cellStyle name="Currency 7 21" xfId="2187"/>
    <cellStyle name="Currency 7 22" xfId="2188"/>
    <cellStyle name="Currency 7 23" xfId="2189"/>
    <cellStyle name="Currency 7 24" xfId="2190"/>
    <cellStyle name="Currency 7 25" xfId="2191"/>
    <cellStyle name="Currency 7 26" xfId="2192"/>
    <cellStyle name="Currency 7 27" xfId="2193"/>
    <cellStyle name="Currency 7 28" xfId="2194"/>
    <cellStyle name="Currency 7 29" xfId="2195"/>
    <cellStyle name="Currency 7 3" xfId="2196"/>
    <cellStyle name="Currency 7 30" xfId="2197"/>
    <cellStyle name="Currency 7 31" xfId="18268"/>
    <cellStyle name="Currency 7 4" xfId="2198"/>
    <cellStyle name="Currency 7 5" xfId="2199"/>
    <cellStyle name="Currency 7 6" xfId="2200"/>
    <cellStyle name="Currency 7 7" xfId="2201"/>
    <cellStyle name="Currency 7 8" xfId="2202"/>
    <cellStyle name="Currency 7 9" xfId="2203"/>
    <cellStyle name="Currency 7_Note Calc" xfId="27345"/>
    <cellStyle name="Currency 8" xfId="2204"/>
    <cellStyle name="Currency 8 10" xfId="2205"/>
    <cellStyle name="Currency 8 11" xfId="2206"/>
    <cellStyle name="Currency 8 12" xfId="2207"/>
    <cellStyle name="Currency 8 13" xfId="2208"/>
    <cellStyle name="Currency 8 14" xfId="2209"/>
    <cellStyle name="Currency 8 15" xfId="2210"/>
    <cellStyle name="Currency 8 16" xfId="2211"/>
    <cellStyle name="Currency 8 17" xfId="2212"/>
    <cellStyle name="Currency 8 18" xfId="2213"/>
    <cellStyle name="Currency 8 19" xfId="2214"/>
    <cellStyle name="Currency 8 2" xfId="2215"/>
    <cellStyle name="Currency 8 20" xfId="2216"/>
    <cellStyle name="Currency 8 21" xfId="2217"/>
    <cellStyle name="Currency 8 22" xfId="2218"/>
    <cellStyle name="Currency 8 23" xfId="2219"/>
    <cellStyle name="Currency 8 24" xfId="2220"/>
    <cellStyle name="Currency 8 25" xfId="2221"/>
    <cellStyle name="Currency 8 26" xfId="2222"/>
    <cellStyle name="Currency 8 27" xfId="2223"/>
    <cellStyle name="Currency 8 28" xfId="2224"/>
    <cellStyle name="Currency 8 29" xfId="2225"/>
    <cellStyle name="Currency 8 3" xfId="2226"/>
    <cellStyle name="Currency 8 30" xfId="2227"/>
    <cellStyle name="Currency 8 31" xfId="21283"/>
    <cellStyle name="Currency 8 4" xfId="2228"/>
    <cellStyle name="Currency 8 5" xfId="2229"/>
    <cellStyle name="Currency 8 6" xfId="2230"/>
    <cellStyle name="Currency 8 7" xfId="2231"/>
    <cellStyle name="Currency 8 8" xfId="2232"/>
    <cellStyle name="Currency 8 9" xfId="2233"/>
    <cellStyle name="Currency 8_Note Calc" xfId="27346"/>
    <cellStyle name="Currency 9" xfId="2234"/>
    <cellStyle name="Currency 9 10" xfId="2235"/>
    <cellStyle name="Currency 9 11" xfId="2236"/>
    <cellStyle name="Currency 9 12" xfId="2237"/>
    <cellStyle name="Currency 9 13" xfId="2238"/>
    <cellStyle name="Currency 9 14" xfId="2239"/>
    <cellStyle name="Currency 9 15" xfId="2240"/>
    <cellStyle name="Currency 9 16" xfId="2241"/>
    <cellStyle name="Currency 9 17" xfId="2242"/>
    <cellStyle name="Currency 9 18" xfId="2243"/>
    <cellStyle name="Currency 9 19" xfId="2244"/>
    <cellStyle name="Currency 9 2" xfId="2245"/>
    <cellStyle name="Currency 9 20" xfId="2246"/>
    <cellStyle name="Currency 9 21" xfId="2247"/>
    <cellStyle name="Currency 9 22" xfId="2248"/>
    <cellStyle name="Currency 9 23" xfId="2249"/>
    <cellStyle name="Currency 9 24" xfId="2250"/>
    <cellStyle name="Currency 9 25" xfId="2251"/>
    <cellStyle name="Currency 9 26" xfId="2252"/>
    <cellStyle name="Currency 9 27" xfId="2253"/>
    <cellStyle name="Currency 9 28" xfId="2254"/>
    <cellStyle name="Currency 9 29" xfId="2255"/>
    <cellStyle name="Currency 9 3" xfId="2256"/>
    <cellStyle name="Currency 9 30" xfId="2257"/>
    <cellStyle name="Currency 9 4" xfId="2258"/>
    <cellStyle name="Currency 9 5" xfId="2259"/>
    <cellStyle name="Currency 9 6" xfId="2260"/>
    <cellStyle name="Currency 9 7" xfId="2261"/>
    <cellStyle name="Currency 9 8" xfId="2262"/>
    <cellStyle name="Currency 9 9" xfId="2263"/>
    <cellStyle name="Currency 9_Note Calc" xfId="27347"/>
    <cellStyle name="Currency0" xfId="2264"/>
    <cellStyle name="Currency0 2" xfId="2265"/>
    <cellStyle name="Currency0_Note Calc" xfId="27348"/>
    <cellStyle name="Date" xfId="2266"/>
    <cellStyle name="Explanatory Text" xfId="2267" builtinId="53" customBuiltin="1"/>
    <cellStyle name="Explanatory Text 10" xfId="12232"/>
    <cellStyle name="Explanatory Text 100" xfId="18269"/>
    <cellStyle name="Explanatory Text 101" xfId="18270"/>
    <cellStyle name="Explanatory Text 102" xfId="18271"/>
    <cellStyle name="Explanatory Text 103" xfId="18272"/>
    <cellStyle name="Explanatory Text 104" xfId="18273"/>
    <cellStyle name="Explanatory Text 105" xfId="18274"/>
    <cellStyle name="Explanatory Text 106" xfId="18275"/>
    <cellStyle name="Explanatory Text 107" xfId="18276"/>
    <cellStyle name="Explanatory Text 108" xfId="18277"/>
    <cellStyle name="Explanatory Text 109" xfId="18278"/>
    <cellStyle name="Explanatory Text 11" xfId="18279"/>
    <cellStyle name="Explanatory Text 110" xfId="18280"/>
    <cellStyle name="Explanatory Text 111" xfId="18281"/>
    <cellStyle name="Explanatory Text 112" xfId="18282"/>
    <cellStyle name="Explanatory Text 113" xfId="18283"/>
    <cellStyle name="Explanatory Text 114" xfId="18284"/>
    <cellStyle name="Explanatory Text 115" xfId="18285"/>
    <cellStyle name="Explanatory Text 116" xfId="18286"/>
    <cellStyle name="Explanatory Text 117" xfId="18287"/>
    <cellStyle name="Explanatory Text 118" xfId="18288"/>
    <cellStyle name="Explanatory Text 119" xfId="18289"/>
    <cellStyle name="Explanatory Text 12" xfId="18290"/>
    <cellStyle name="Explanatory Text 120" xfId="18291"/>
    <cellStyle name="Explanatory Text 121" xfId="18292"/>
    <cellStyle name="Explanatory Text 122" xfId="18293"/>
    <cellStyle name="Explanatory Text 123" xfId="18294"/>
    <cellStyle name="Explanatory Text 124" xfId="18295"/>
    <cellStyle name="Explanatory Text 125" xfId="18296"/>
    <cellStyle name="Explanatory Text 126" xfId="18297"/>
    <cellStyle name="Explanatory Text 127" xfId="18298"/>
    <cellStyle name="Explanatory Text 128" xfId="18299"/>
    <cellStyle name="Explanatory Text 129" xfId="18300"/>
    <cellStyle name="Explanatory Text 13" xfId="18301"/>
    <cellStyle name="Explanatory Text 130" xfId="18302"/>
    <cellStyle name="Explanatory Text 131" xfId="18303"/>
    <cellStyle name="Explanatory Text 132" xfId="18304"/>
    <cellStyle name="Explanatory Text 133" xfId="18305"/>
    <cellStyle name="Explanatory Text 134" xfId="18306"/>
    <cellStyle name="Explanatory Text 135" xfId="18307"/>
    <cellStyle name="Explanatory Text 136" xfId="18308"/>
    <cellStyle name="Explanatory Text 137" xfId="18309"/>
    <cellStyle name="Explanatory Text 138" xfId="18310"/>
    <cellStyle name="Explanatory Text 139" xfId="18311"/>
    <cellStyle name="Explanatory Text 14" xfId="18312"/>
    <cellStyle name="Explanatory Text 140" xfId="18313"/>
    <cellStyle name="Explanatory Text 141" xfId="18314"/>
    <cellStyle name="Explanatory Text 142" xfId="18315"/>
    <cellStyle name="Explanatory Text 143" xfId="18316"/>
    <cellStyle name="Explanatory Text 144" xfId="18317"/>
    <cellStyle name="Explanatory Text 145" xfId="18318"/>
    <cellStyle name="Explanatory Text 146" xfId="18319"/>
    <cellStyle name="Explanatory Text 147" xfId="18320"/>
    <cellStyle name="Explanatory Text 148" xfId="18321"/>
    <cellStyle name="Explanatory Text 149" xfId="18322"/>
    <cellStyle name="Explanatory Text 15" xfId="18323"/>
    <cellStyle name="Explanatory Text 150" xfId="18324"/>
    <cellStyle name="Explanatory Text 151" xfId="18325"/>
    <cellStyle name="Explanatory Text 152" xfId="18326"/>
    <cellStyle name="Explanatory Text 153" xfId="18327"/>
    <cellStyle name="Explanatory Text 154" xfId="18328"/>
    <cellStyle name="Explanatory Text 155" xfId="18329"/>
    <cellStyle name="Explanatory Text 156" xfId="18330"/>
    <cellStyle name="Explanatory Text 157" xfId="18331"/>
    <cellStyle name="Explanatory Text 158" xfId="18332"/>
    <cellStyle name="Explanatory Text 159" xfId="18333"/>
    <cellStyle name="Explanatory Text 16" xfId="18334"/>
    <cellStyle name="Explanatory Text 160" xfId="18335"/>
    <cellStyle name="Explanatory Text 161" xfId="18336"/>
    <cellStyle name="Explanatory Text 162" xfId="18337"/>
    <cellStyle name="Explanatory Text 163" xfId="18338"/>
    <cellStyle name="Explanatory Text 163 2" xfId="21577"/>
    <cellStyle name="Explanatory Text 163 3" xfId="21578"/>
    <cellStyle name="Explanatory Text 163_Note Calc" xfId="27349"/>
    <cellStyle name="Explanatory Text 164" xfId="18339"/>
    <cellStyle name="Explanatory Text 165" xfId="18340"/>
    <cellStyle name="Explanatory Text 166" xfId="18341"/>
    <cellStyle name="Explanatory Text 167" xfId="18342"/>
    <cellStyle name="Explanatory Text 168" xfId="18343"/>
    <cellStyle name="Explanatory Text 169" xfId="18344"/>
    <cellStyle name="Explanatory Text 17" xfId="18345"/>
    <cellStyle name="Explanatory Text 170" xfId="18346"/>
    <cellStyle name="Explanatory Text 171" xfId="18347"/>
    <cellStyle name="Explanatory Text 172" xfId="18348"/>
    <cellStyle name="Explanatory Text 173" xfId="18349"/>
    <cellStyle name="Explanatory Text 174" xfId="18350"/>
    <cellStyle name="Explanatory Text 175" xfId="18351"/>
    <cellStyle name="Explanatory Text 176" xfId="18352"/>
    <cellStyle name="Explanatory Text 177" xfId="18353"/>
    <cellStyle name="Explanatory Text 178" xfId="18354"/>
    <cellStyle name="Explanatory Text 179" xfId="18355"/>
    <cellStyle name="Explanatory Text 18" xfId="18356"/>
    <cellStyle name="Explanatory Text 180" xfId="18357"/>
    <cellStyle name="Explanatory Text 181" xfId="18358"/>
    <cellStyle name="Explanatory Text 182" xfId="18359"/>
    <cellStyle name="Explanatory Text 183" xfId="18360"/>
    <cellStyle name="Explanatory Text 184" xfId="18361"/>
    <cellStyle name="Explanatory Text 185" xfId="18362"/>
    <cellStyle name="Explanatory Text 186" xfId="18363"/>
    <cellStyle name="Explanatory Text 187" xfId="18364"/>
    <cellStyle name="Explanatory Text 188" xfId="18365"/>
    <cellStyle name="Explanatory Text 189" xfId="18366"/>
    <cellStyle name="Explanatory Text 19" xfId="18367"/>
    <cellStyle name="Explanatory Text 190" xfId="18368"/>
    <cellStyle name="Explanatory Text 191" xfId="18369"/>
    <cellStyle name="Explanatory Text 192" xfId="18370"/>
    <cellStyle name="Explanatory Text 193" xfId="18371"/>
    <cellStyle name="Explanatory Text 194" xfId="18372"/>
    <cellStyle name="Explanatory Text 195" xfId="18373"/>
    <cellStyle name="Explanatory Text 196" xfId="18374"/>
    <cellStyle name="Explanatory Text 197" xfId="18375"/>
    <cellStyle name="Explanatory Text 198" xfId="18376"/>
    <cellStyle name="Explanatory Text 199" xfId="18377"/>
    <cellStyle name="Explanatory Text 2" xfId="2268"/>
    <cellStyle name="Explanatory Text 2 10" xfId="12126"/>
    <cellStyle name="Explanatory Text 2 11" xfId="18378"/>
    <cellStyle name="Explanatory Text 2 12" xfId="27351"/>
    <cellStyle name="Explanatory Text 2 2" xfId="7947"/>
    <cellStyle name="Explanatory Text 2 2 2" xfId="21579"/>
    <cellStyle name="Explanatory Text 2 2_Note Calc" xfId="27352"/>
    <cellStyle name="Explanatory Text 2 3" xfId="7948"/>
    <cellStyle name="Explanatory Text 2 3 2" xfId="21580"/>
    <cellStyle name="Explanatory Text 2 3_Note Calc" xfId="27353"/>
    <cellStyle name="Explanatory Text 2 4" xfId="7949"/>
    <cellStyle name="Explanatory Text 2 4 2" xfId="21581"/>
    <cellStyle name="Explanatory Text 2 4_Note Calc" xfId="27354"/>
    <cellStyle name="Explanatory Text 2 5" xfId="7950"/>
    <cellStyle name="Explanatory Text 2 6" xfId="7951"/>
    <cellStyle name="Explanatory Text 2 7" xfId="7952"/>
    <cellStyle name="Explanatory Text 2 8" xfId="8337"/>
    <cellStyle name="Explanatory Text 2 9" xfId="8226"/>
    <cellStyle name="Explanatory Text 2_Note Calc" xfId="27350"/>
    <cellStyle name="Explanatory Text 20" xfId="18379"/>
    <cellStyle name="Explanatory Text 200" xfId="18380"/>
    <cellStyle name="Explanatory Text 201" xfId="21839"/>
    <cellStyle name="Explanatory Text 202" xfId="21720"/>
    <cellStyle name="Explanatory Text 203" xfId="21963"/>
    <cellStyle name="Explanatory Text 204" xfId="21905"/>
    <cellStyle name="Explanatory Text 205" xfId="27355"/>
    <cellStyle name="Explanatory Text 21" xfId="18381"/>
    <cellStyle name="Explanatory Text 22" xfId="18382"/>
    <cellStyle name="Explanatory Text 23" xfId="18383"/>
    <cellStyle name="Explanatory Text 24" xfId="18384"/>
    <cellStyle name="Explanatory Text 25" xfId="18385"/>
    <cellStyle name="Explanatory Text 26" xfId="18386"/>
    <cellStyle name="Explanatory Text 27" xfId="18387"/>
    <cellStyle name="Explanatory Text 28" xfId="18388"/>
    <cellStyle name="Explanatory Text 29" xfId="18389"/>
    <cellStyle name="Explanatory Text 3" xfId="7953"/>
    <cellStyle name="Explanatory Text 3 2" xfId="7954"/>
    <cellStyle name="Explanatory Text 3 3" xfId="7955"/>
    <cellStyle name="Explanatory Text 3 4" xfId="7956"/>
    <cellStyle name="Explanatory Text 3 5" xfId="7957"/>
    <cellStyle name="Explanatory Text 3 6" xfId="7958"/>
    <cellStyle name="Explanatory Text 3 7" xfId="7959"/>
    <cellStyle name="Explanatory Text 3 8" xfId="18390"/>
    <cellStyle name="Explanatory Text 3 9" xfId="27356"/>
    <cellStyle name="Explanatory Text 3_Forecast" xfId="22517"/>
    <cellStyle name="Explanatory Text 30" xfId="18391"/>
    <cellStyle name="Explanatory Text 31" xfId="18392"/>
    <cellStyle name="Explanatory Text 32" xfId="18393"/>
    <cellStyle name="Explanatory Text 33" xfId="18394"/>
    <cellStyle name="Explanatory Text 34" xfId="18395"/>
    <cellStyle name="Explanatory Text 35" xfId="18396"/>
    <cellStyle name="Explanatory Text 36" xfId="18397"/>
    <cellStyle name="Explanatory Text 37" xfId="18398"/>
    <cellStyle name="Explanatory Text 38" xfId="18399"/>
    <cellStyle name="Explanatory Text 39" xfId="18400"/>
    <cellStyle name="Explanatory Text 4" xfId="7960"/>
    <cellStyle name="Explanatory Text 4 2" xfId="18401"/>
    <cellStyle name="Explanatory Text 4_Note Calc" xfId="27357"/>
    <cellStyle name="Explanatory Text 40" xfId="18402"/>
    <cellStyle name="Explanatory Text 41" xfId="18403"/>
    <cellStyle name="Explanatory Text 42" xfId="18404"/>
    <cellStyle name="Explanatory Text 43" xfId="18405"/>
    <cellStyle name="Explanatory Text 44" xfId="18406"/>
    <cellStyle name="Explanatory Text 45" xfId="18407"/>
    <cellStyle name="Explanatory Text 46" xfId="18408"/>
    <cellStyle name="Explanatory Text 47" xfId="18409"/>
    <cellStyle name="Explanatory Text 48" xfId="18410"/>
    <cellStyle name="Explanatory Text 49" xfId="18411"/>
    <cellStyle name="Explanatory Text 5" xfId="7961"/>
    <cellStyle name="Explanatory Text 5 2" xfId="18412"/>
    <cellStyle name="Explanatory Text 5_Note Calc" xfId="27358"/>
    <cellStyle name="Explanatory Text 50" xfId="18413"/>
    <cellStyle name="Explanatory Text 51" xfId="18414"/>
    <cellStyle name="Explanatory Text 52" xfId="18415"/>
    <cellStyle name="Explanatory Text 53" xfId="18416"/>
    <cellStyle name="Explanatory Text 54" xfId="18417"/>
    <cellStyle name="Explanatory Text 55" xfId="18418"/>
    <cellStyle name="Explanatory Text 56" xfId="18419"/>
    <cellStyle name="Explanatory Text 57" xfId="18420"/>
    <cellStyle name="Explanatory Text 58" xfId="18421"/>
    <cellStyle name="Explanatory Text 59" xfId="18422"/>
    <cellStyle name="Explanatory Text 6" xfId="7962"/>
    <cellStyle name="Explanatory Text 6 2" xfId="18423"/>
    <cellStyle name="Explanatory Text 6_Note Calc" xfId="27359"/>
    <cellStyle name="Explanatory Text 60" xfId="18424"/>
    <cellStyle name="Explanatory Text 61" xfId="18425"/>
    <cellStyle name="Explanatory Text 62" xfId="18426"/>
    <cellStyle name="Explanatory Text 63" xfId="18427"/>
    <cellStyle name="Explanatory Text 64" xfId="18428"/>
    <cellStyle name="Explanatory Text 65" xfId="18429"/>
    <cellStyle name="Explanatory Text 66" xfId="18430"/>
    <cellStyle name="Explanatory Text 67" xfId="18431"/>
    <cellStyle name="Explanatory Text 68" xfId="18432"/>
    <cellStyle name="Explanatory Text 69" xfId="18433"/>
    <cellStyle name="Explanatory Text 7" xfId="7963"/>
    <cellStyle name="Explanatory Text 7 2" xfId="18434"/>
    <cellStyle name="Explanatory Text 7_Note Calc" xfId="27360"/>
    <cellStyle name="Explanatory Text 70" xfId="18435"/>
    <cellStyle name="Explanatory Text 71" xfId="18436"/>
    <cellStyle name="Explanatory Text 72" xfId="18437"/>
    <cellStyle name="Explanatory Text 73" xfId="18438"/>
    <cellStyle name="Explanatory Text 74" xfId="18439"/>
    <cellStyle name="Explanatory Text 75" xfId="18440"/>
    <cellStyle name="Explanatory Text 76" xfId="18441"/>
    <cellStyle name="Explanatory Text 77" xfId="18442"/>
    <cellStyle name="Explanatory Text 78" xfId="18443"/>
    <cellStyle name="Explanatory Text 79" xfId="18444"/>
    <cellStyle name="Explanatory Text 8" xfId="7964"/>
    <cellStyle name="Explanatory Text 8 2" xfId="18445"/>
    <cellStyle name="Explanatory Text 8_Note Calc" xfId="27361"/>
    <cellStyle name="Explanatory Text 80" xfId="18446"/>
    <cellStyle name="Explanatory Text 81" xfId="18447"/>
    <cellStyle name="Explanatory Text 82" xfId="18448"/>
    <cellStyle name="Explanatory Text 83" xfId="18449"/>
    <cellStyle name="Explanatory Text 84" xfId="18450"/>
    <cellStyle name="Explanatory Text 85" xfId="18451"/>
    <cellStyle name="Explanatory Text 86" xfId="18452"/>
    <cellStyle name="Explanatory Text 87" xfId="18453"/>
    <cellStyle name="Explanatory Text 88" xfId="18454"/>
    <cellStyle name="Explanatory Text 89" xfId="18455"/>
    <cellStyle name="Explanatory Text 9" xfId="7965"/>
    <cellStyle name="Explanatory Text 9 2" xfId="18456"/>
    <cellStyle name="Explanatory Text 9_Note Calc" xfId="27362"/>
    <cellStyle name="Explanatory Text 90" xfId="18457"/>
    <cellStyle name="Explanatory Text 91" xfId="18458"/>
    <cellStyle name="Explanatory Text 92" xfId="18459"/>
    <cellStyle name="Explanatory Text 93" xfId="18460"/>
    <cellStyle name="Explanatory Text 94" xfId="18461"/>
    <cellStyle name="Explanatory Text 95" xfId="18462"/>
    <cellStyle name="Explanatory Text 96" xfId="18463"/>
    <cellStyle name="Explanatory Text 97" xfId="18464"/>
    <cellStyle name="Explanatory Text 98" xfId="18465"/>
    <cellStyle name="Explanatory Text 99" xfId="18466"/>
    <cellStyle name="Fixed" xfId="2269"/>
    <cellStyle name="Good" xfId="2270" builtinId="26" customBuiltin="1"/>
    <cellStyle name="Good 10" xfId="12222"/>
    <cellStyle name="Good 100" xfId="18467"/>
    <cellStyle name="Good 101" xfId="18468"/>
    <cellStyle name="Good 102" xfId="18469"/>
    <cellStyle name="Good 103" xfId="18470"/>
    <cellStyle name="Good 104" xfId="18471"/>
    <cellStyle name="Good 105" xfId="18472"/>
    <cellStyle name="Good 106" xfId="18473"/>
    <cellStyle name="Good 107" xfId="18474"/>
    <cellStyle name="Good 108" xfId="18475"/>
    <cellStyle name="Good 109" xfId="18476"/>
    <cellStyle name="Good 11" xfId="18477"/>
    <cellStyle name="Good 110" xfId="18478"/>
    <cellStyle name="Good 111" xfId="18479"/>
    <cellStyle name="Good 112" xfId="18480"/>
    <cellStyle name="Good 113" xfId="18481"/>
    <cellStyle name="Good 114" xfId="18482"/>
    <cellStyle name="Good 115" xfId="18483"/>
    <cellStyle name="Good 116" xfId="18484"/>
    <cellStyle name="Good 117" xfId="18485"/>
    <cellStyle name="Good 118" xfId="18486"/>
    <cellStyle name="Good 119" xfId="18487"/>
    <cellStyle name="Good 12" xfId="18488"/>
    <cellStyle name="Good 120" xfId="18489"/>
    <cellStyle name="Good 121" xfId="18490"/>
    <cellStyle name="Good 122" xfId="18491"/>
    <cellStyle name="Good 123" xfId="18492"/>
    <cellStyle name="Good 124" xfId="18493"/>
    <cellStyle name="Good 125" xfId="18494"/>
    <cellStyle name="Good 126" xfId="18495"/>
    <cellStyle name="Good 127" xfId="18496"/>
    <cellStyle name="Good 128" xfId="18497"/>
    <cellStyle name="Good 129" xfId="18498"/>
    <cellStyle name="Good 13" xfId="18499"/>
    <cellStyle name="Good 130" xfId="18500"/>
    <cellStyle name="Good 131" xfId="18501"/>
    <cellStyle name="Good 132" xfId="18502"/>
    <cellStyle name="Good 133" xfId="18503"/>
    <cellStyle name="Good 134" xfId="18504"/>
    <cellStyle name="Good 135" xfId="18505"/>
    <cellStyle name="Good 136" xfId="18506"/>
    <cellStyle name="Good 137" xfId="18507"/>
    <cellStyle name="Good 138" xfId="18508"/>
    <cellStyle name="Good 139" xfId="18509"/>
    <cellStyle name="Good 14" xfId="18510"/>
    <cellStyle name="Good 140" xfId="18511"/>
    <cellStyle name="Good 141" xfId="18512"/>
    <cellStyle name="Good 142" xfId="18513"/>
    <cellStyle name="Good 143" xfId="18514"/>
    <cellStyle name="Good 144" xfId="18515"/>
    <cellStyle name="Good 145" xfId="18516"/>
    <cellStyle name="Good 146" xfId="18517"/>
    <cellStyle name="Good 147" xfId="18518"/>
    <cellStyle name="Good 148" xfId="18519"/>
    <cellStyle name="Good 149" xfId="18520"/>
    <cellStyle name="Good 15" xfId="18521"/>
    <cellStyle name="Good 150" xfId="18522"/>
    <cellStyle name="Good 151" xfId="18523"/>
    <cellStyle name="Good 152" xfId="18524"/>
    <cellStyle name="Good 153" xfId="18525"/>
    <cellStyle name="Good 154" xfId="18526"/>
    <cellStyle name="Good 155" xfId="18527"/>
    <cellStyle name="Good 156" xfId="18528"/>
    <cellStyle name="Good 157" xfId="18529"/>
    <cellStyle name="Good 158" xfId="18530"/>
    <cellStyle name="Good 159" xfId="18531"/>
    <cellStyle name="Good 16" xfId="18532"/>
    <cellStyle name="Good 160" xfId="18533"/>
    <cellStyle name="Good 161" xfId="18534"/>
    <cellStyle name="Good 162" xfId="18535"/>
    <cellStyle name="Good 163" xfId="18536"/>
    <cellStyle name="Good 163 2" xfId="21582"/>
    <cellStyle name="Good 163 3" xfId="21583"/>
    <cellStyle name="Good 163_Note Calc" xfId="27363"/>
    <cellStyle name="Good 164" xfId="18537"/>
    <cellStyle name="Good 165" xfId="18538"/>
    <cellStyle name="Good 166" xfId="18539"/>
    <cellStyle name="Good 167" xfId="18540"/>
    <cellStyle name="Good 168" xfId="18541"/>
    <cellStyle name="Good 169" xfId="18542"/>
    <cellStyle name="Good 17" xfId="18543"/>
    <cellStyle name="Good 170" xfId="18544"/>
    <cellStyle name="Good 171" xfId="18545"/>
    <cellStyle name="Good 172" xfId="18546"/>
    <cellStyle name="Good 173" xfId="18547"/>
    <cellStyle name="Good 174" xfId="18548"/>
    <cellStyle name="Good 175" xfId="18549"/>
    <cellStyle name="Good 176" xfId="18550"/>
    <cellStyle name="Good 177" xfId="18551"/>
    <cellStyle name="Good 178" xfId="18552"/>
    <cellStyle name="Good 179" xfId="18553"/>
    <cellStyle name="Good 18" xfId="18554"/>
    <cellStyle name="Good 180" xfId="18555"/>
    <cellStyle name="Good 181" xfId="18556"/>
    <cellStyle name="Good 182" xfId="18557"/>
    <cellStyle name="Good 183" xfId="18558"/>
    <cellStyle name="Good 184" xfId="18559"/>
    <cellStyle name="Good 185" xfId="18560"/>
    <cellStyle name="Good 186" xfId="18561"/>
    <cellStyle name="Good 187" xfId="18562"/>
    <cellStyle name="Good 188" xfId="18563"/>
    <cellStyle name="Good 189" xfId="18564"/>
    <cellStyle name="Good 19" xfId="18565"/>
    <cellStyle name="Good 190" xfId="18566"/>
    <cellStyle name="Good 191" xfId="18567"/>
    <cellStyle name="Good 192" xfId="18568"/>
    <cellStyle name="Good 193" xfId="18569"/>
    <cellStyle name="Good 194" xfId="18570"/>
    <cellStyle name="Good 195" xfId="18571"/>
    <cellStyle name="Good 196" xfId="18572"/>
    <cellStyle name="Good 197" xfId="18573"/>
    <cellStyle name="Good 198" xfId="18574"/>
    <cellStyle name="Good 199" xfId="18575"/>
    <cellStyle name="Good 2" xfId="2271"/>
    <cellStyle name="Good 2 10" xfId="12127"/>
    <cellStyle name="Good 2 11" xfId="18576"/>
    <cellStyle name="Good 2 12" xfId="27365"/>
    <cellStyle name="Good 2 2" xfId="7966"/>
    <cellStyle name="Good 2 2 2" xfId="21584"/>
    <cellStyle name="Good 2 2_Note Calc" xfId="27366"/>
    <cellStyle name="Good 2 3" xfId="7967"/>
    <cellStyle name="Good 2 3 2" xfId="21585"/>
    <cellStyle name="Good 2 3_Note Calc" xfId="27367"/>
    <cellStyle name="Good 2 4" xfId="7968"/>
    <cellStyle name="Good 2 4 2" xfId="21586"/>
    <cellStyle name="Good 2 4_Note Calc" xfId="27368"/>
    <cellStyle name="Good 2 5" xfId="7969"/>
    <cellStyle name="Good 2 6" xfId="7970"/>
    <cellStyle name="Good 2 7" xfId="7971"/>
    <cellStyle name="Good 2 8" xfId="8346"/>
    <cellStyle name="Good 2 9" xfId="8217"/>
    <cellStyle name="Good 2_Note Calc" xfId="27364"/>
    <cellStyle name="Good 20" xfId="18577"/>
    <cellStyle name="Good 200" xfId="18578"/>
    <cellStyle name="Good 201" xfId="21840"/>
    <cellStyle name="Good 202" xfId="21710"/>
    <cellStyle name="Good 203" xfId="21953"/>
    <cellStyle name="Good 204" xfId="21915"/>
    <cellStyle name="Good 205" xfId="27369"/>
    <cellStyle name="Good 21" xfId="18579"/>
    <cellStyle name="Good 22" xfId="18580"/>
    <cellStyle name="Good 23" xfId="18581"/>
    <cellStyle name="Good 24" xfId="18582"/>
    <cellStyle name="Good 25" xfId="18583"/>
    <cellStyle name="Good 26" xfId="18584"/>
    <cellStyle name="Good 27" xfId="18585"/>
    <cellStyle name="Good 28" xfId="18586"/>
    <cellStyle name="Good 29" xfId="18587"/>
    <cellStyle name="Good 3" xfId="7972"/>
    <cellStyle name="Good 3 2" xfId="7973"/>
    <cellStyle name="Good 3 3" xfId="7974"/>
    <cellStyle name="Good 3 4" xfId="7975"/>
    <cellStyle name="Good 3 5" xfId="7976"/>
    <cellStyle name="Good 3 6" xfId="7977"/>
    <cellStyle name="Good 3 7" xfId="7978"/>
    <cellStyle name="Good 3 8" xfId="18588"/>
    <cellStyle name="Good 3 9" xfId="27370"/>
    <cellStyle name="Good 3_Forecast" xfId="22518"/>
    <cellStyle name="Good 30" xfId="18589"/>
    <cellStyle name="Good 31" xfId="18590"/>
    <cellStyle name="Good 32" xfId="18591"/>
    <cellStyle name="Good 33" xfId="18592"/>
    <cellStyle name="Good 34" xfId="18593"/>
    <cellStyle name="Good 35" xfId="18594"/>
    <cellStyle name="Good 36" xfId="18595"/>
    <cellStyle name="Good 37" xfId="18596"/>
    <cellStyle name="Good 38" xfId="18597"/>
    <cellStyle name="Good 39" xfId="18598"/>
    <cellStyle name="Good 4" xfId="7979"/>
    <cellStyle name="Good 4 2" xfId="18599"/>
    <cellStyle name="Good 4_Note Calc" xfId="27371"/>
    <cellStyle name="Good 40" xfId="18600"/>
    <cellStyle name="Good 41" xfId="18601"/>
    <cellStyle name="Good 42" xfId="18602"/>
    <cellStyle name="Good 43" xfId="18603"/>
    <cellStyle name="Good 44" xfId="18604"/>
    <cellStyle name="Good 45" xfId="18605"/>
    <cellStyle name="Good 46" xfId="18606"/>
    <cellStyle name="Good 47" xfId="18607"/>
    <cellStyle name="Good 48" xfId="18608"/>
    <cellStyle name="Good 49" xfId="18609"/>
    <cellStyle name="Good 5" xfId="7980"/>
    <cellStyle name="Good 5 2" xfId="18610"/>
    <cellStyle name="Good 5_Note Calc" xfId="27372"/>
    <cellStyle name="Good 50" xfId="18611"/>
    <cellStyle name="Good 51" xfId="18612"/>
    <cellStyle name="Good 52" xfId="18613"/>
    <cellStyle name="Good 53" xfId="18614"/>
    <cellStyle name="Good 54" xfId="18615"/>
    <cellStyle name="Good 55" xfId="18616"/>
    <cellStyle name="Good 56" xfId="18617"/>
    <cellStyle name="Good 57" xfId="18618"/>
    <cellStyle name="Good 58" xfId="18619"/>
    <cellStyle name="Good 59" xfId="18620"/>
    <cellStyle name="Good 6" xfId="7981"/>
    <cellStyle name="Good 6 2" xfId="18621"/>
    <cellStyle name="Good 6_Note Calc" xfId="27373"/>
    <cellStyle name="Good 60" xfId="18622"/>
    <cellStyle name="Good 61" xfId="18623"/>
    <cellStyle name="Good 62" xfId="18624"/>
    <cellStyle name="Good 63" xfId="18625"/>
    <cellStyle name="Good 64" xfId="18626"/>
    <cellStyle name="Good 65" xfId="18627"/>
    <cellStyle name="Good 66" xfId="18628"/>
    <cellStyle name="Good 67" xfId="18629"/>
    <cellStyle name="Good 68" xfId="18630"/>
    <cellStyle name="Good 69" xfId="18631"/>
    <cellStyle name="Good 7" xfId="7982"/>
    <cellStyle name="Good 7 2" xfId="18632"/>
    <cellStyle name="Good 7_Note Calc" xfId="27374"/>
    <cellStyle name="Good 70" xfId="18633"/>
    <cellStyle name="Good 71" xfId="18634"/>
    <cellStyle name="Good 72" xfId="18635"/>
    <cellStyle name="Good 73" xfId="18636"/>
    <cellStyle name="Good 74" xfId="18637"/>
    <cellStyle name="Good 75" xfId="18638"/>
    <cellStyle name="Good 76" xfId="18639"/>
    <cellStyle name="Good 77" xfId="18640"/>
    <cellStyle name="Good 78" xfId="18641"/>
    <cellStyle name="Good 79" xfId="18642"/>
    <cellStyle name="Good 8" xfId="7983"/>
    <cellStyle name="Good 8 2" xfId="18643"/>
    <cellStyle name="Good 8_Note Calc" xfId="27375"/>
    <cellStyle name="Good 80" xfId="18644"/>
    <cellStyle name="Good 81" xfId="18645"/>
    <cellStyle name="Good 82" xfId="18646"/>
    <cellStyle name="Good 83" xfId="18647"/>
    <cellStyle name="Good 84" xfId="18648"/>
    <cellStyle name="Good 85" xfId="18649"/>
    <cellStyle name="Good 86" xfId="18650"/>
    <cellStyle name="Good 87" xfId="18651"/>
    <cellStyle name="Good 88" xfId="18652"/>
    <cellStyle name="Good 89" xfId="18653"/>
    <cellStyle name="Good 9" xfId="7984"/>
    <cellStyle name="Good 9 2" xfId="18654"/>
    <cellStyle name="Good 9_Note Calc" xfId="27376"/>
    <cellStyle name="Good 90" xfId="18655"/>
    <cellStyle name="Good 91" xfId="18656"/>
    <cellStyle name="Good 92" xfId="18657"/>
    <cellStyle name="Good 93" xfId="18658"/>
    <cellStyle name="Good 94" xfId="18659"/>
    <cellStyle name="Good 95" xfId="18660"/>
    <cellStyle name="Good 96" xfId="18661"/>
    <cellStyle name="Good 97" xfId="18662"/>
    <cellStyle name="Good 98" xfId="18663"/>
    <cellStyle name="Good 99" xfId="18664"/>
    <cellStyle name="Heading 1" xfId="2272" builtinId="16" customBuiltin="1"/>
    <cellStyle name="Heading 1 10" xfId="18665"/>
    <cellStyle name="Heading 1 100" xfId="18666"/>
    <cellStyle name="Heading 1 101" xfId="18667"/>
    <cellStyle name="Heading 1 102" xfId="18668"/>
    <cellStyle name="Heading 1 103" xfId="18669"/>
    <cellStyle name="Heading 1 104" xfId="18670"/>
    <cellStyle name="Heading 1 105" xfId="18671"/>
    <cellStyle name="Heading 1 106" xfId="18672"/>
    <cellStyle name="Heading 1 107" xfId="18673"/>
    <cellStyle name="Heading 1 108" xfId="18674"/>
    <cellStyle name="Heading 1 109" xfId="18675"/>
    <cellStyle name="Heading 1 11" xfId="18676"/>
    <cellStyle name="Heading 1 110" xfId="18677"/>
    <cellStyle name="Heading 1 111" xfId="18678"/>
    <cellStyle name="Heading 1 112" xfId="18679"/>
    <cellStyle name="Heading 1 113" xfId="18680"/>
    <cellStyle name="Heading 1 114" xfId="18681"/>
    <cellStyle name="Heading 1 115" xfId="18682"/>
    <cellStyle name="Heading 1 116" xfId="18683"/>
    <cellStyle name="Heading 1 117" xfId="18684"/>
    <cellStyle name="Heading 1 118" xfId="18685"/>
    <cellStyle name="Heading 1 119" xfId="18686"/>
    <cellStyle name="Heading 1 12" xfId="18687"/>
    <cellStyle name="Heading 1 120" xfId="18688"/>
    <cellStyle name="Heading 1 121" xfId="18689"/>
    <cellStyle name="Heading 1 122" xfId="18690"/>
    <cellStyle name="Heading 1 123" xfId="18691"/>
    <cellStyle name="Heading 1 124" xfId="18692"/>
    <cellStyle name="Heading 1 125" xfId="18693"/>
    <cellStyle name="Heading 1 126" xfId="18694"/>
    <cellStyle name="Heading 1 127" xfId="18695"/>
    <cellStyle name="Heading 1 128" xfId="18696"/>
    <cellStyle name="Heading 1 129" xfId="18697"/>
    <cellStyle name="Heading 1 13" xfId="18698"/>
    <cellStyle name="Heading 1 130" xfId="18699"/>
    <cellStyle name="Heading 1 131" xfId="18700"/>
    <cellStyle name="Heading 1 132" xfId="18701"/>
    <cellStyle name="Heading 1 133" xfId="18702"/>
    <cellStyle name="Heading 1 134" xfId="18703"/>
    <cellStyle name="Heading 1 135" xfId="18704"/>
    <cellStyle name="Heading 1 136" xfId="18705"/>
    <cellStyle name="Heading 1 137" xfId="18706"/>
    <cellStyle name="Heading 1 138" xfId="18707"/>
    <cellStyle name="Heading 1 139" xfId="18708"/>
    <cellStyle name="Heading 1 14" xfId="18709"/>
    <cellStyle name="Heading 1 140" xfId="18710"/>
    <cellStyle name="Heading 1 141" xfId="18711"/>
    <cellStyle name="Heading 1 142" xfId="18712"/>
    <cellStyle name="Heading 1 143" xfId="18713"/>
    <cellStyle name="Heading 1 144" xfId="18714"/>
    <cellStyle name="Heading 1 145" xfId="18715"/>
    <cellStyle name="Heading 1 146" xfId="18716"/>
    <cellStyle name="Heading 1 147" xfId="18717"/>
    <cellStyle name="Heading 1 148" xfId="18718"/>
    <cellStyle name="Heading 1 149" xfId="18719"/>
    <cellStyle name="Heading 1 15" xfId="18720"/>
    <cellStyle name="Heading 1 150" xfId="18721"/>
    <cellStyle name="Heading 1 151" xfId="18722"/>
    <cellStyle name="Heading 1 152" xfId="18723"/>
    <cellStyle name="Heading 1 153" xfId="18724"/>
    <cellStyle name="Heading 1 154" xfId="18725"/>
    <cellStyle name="Heading 1 155" xfId="18726"/>
    <cellStyle name="Heading 1 156" xfId="18727"/>
    <cellStyle name="Heading 1 157" xfId="18728"/>
    <cellStyle name="Heading 1 158" xfId="18729"/>
    <cellStyle name="Heading 1 159" xfId="18730"/>
    <cellStyle name="Heading 1 16" xfId="18731"/>
    <cellStyle name="Heading 1 160" xfId="18732"/>
    <cellStyle name="Heading 1 161" xfId="18733"/>
    <cellStyle name="Heading 1 162" xfId="18734"/>
    <cellStyle name="Heading 1 163" xfId="18735"/>
    <cellStyle name="Heading 1 163 2" xfId="21587"/>
    <cellStyle name="Heading 1 163 3" xfId="21588"/>
    <cellStyle name="Heading 1 163_Note Calc" xfId="27377"/>
    <cellStyle name="Heading 1 164" xfId="18736"/>
    <cellStyle name="Heading 1 165" xfId="18737"/>
    <cellStyle name="Heading 1 166" xfId="18738"/>
    <cellStyle name="Heading 1 167" xfId="18739"/>
    <cellStyle name="Heading 1 168" xfId="18740"/>
    <cellStyle name="Heading 1 169" xfId="18741"/>
    <cellStyle name="Heading 1 17" xfId="18742"/>
    <cellStyle name="Heading 1 170" xfId="18743"/>
    <cellStyle name="Heading 1 171" xfId="18744"/>
    <cellStyle name="Heading 1 172" xfId="18745"/>
    <cellStyle name="Heading 1 173" xfId="18746"/>
    <cellStyle name="Heading 1 174" xfId="18747"/>
    <cellStyle name="Heading 1 175" xfId="18748"/>
    <cellStyle name="Heading 1 176" xfId="18749"/>
    <cellStyle name="Heading 1 177" xfId="18750"/>
    <cellStyle name="Heading 1 178" xfId="18751"/>
    <cellStyle name="Heading 1 179" xfId="18752"/>
    <cellStyle name="Heading 1 18" xfId="18753"/>
    <cellStyle name="Heading 1 180" xfId="18754"/>
    <cellStyle name="Heading 1 181" xfId="18755"/>
    <cellStyle name="Heading 1 182" xfId="18756"/>
    <cellStyle name="Heading 1 183" xfId="18757"/>
    <cellStyle name="Heading 1 184" xfId="18758"/>
    <cellStyle name="Heading 1 185" xfId="18759"/>
    <cellStyle name="Heading 1 186" xfId="18760"/>
    <cellStyle name="Heading 1 187" xfId="18761"/>
    <cellStyle name="Heading 1 188" xfId="18762"/>
    <cellStyle name="Heading 1 189" xfId="18763"/>
    <cellStyle name="Heading 1 19" xfId="18764"/>
    <cellStyle name="Heading 1 190" xfId="18765"/>
    <cellStyle name="Heading 1 191" xfId="18766"/>
    <cellStyle name="Heading 1 192" xfId="18767"/>
    <cellStyle name="Heading 1 193" xfId="18768"/>
    <cellStyle name="Heading 1 194" xfId="18769"/>
    <cellStyle name="Heading 1 195" xfId="18770"/>
    <cellStyle name="Heading 1 196" xfId="18771"/>
    <cellStyle name="Heading 1 197" xfId="18772"/>
    <cellStyle name="Heading 1 198" xfId="18773"/>
    <cellStyle name="Heading 1 199" xfId="18774"/>
    <cellStyle name="Heading 1 2" xfId="2273"/>
    <cellStyle name="Heading 1 2 2" xfId="21589"/>
    <cellStyle name="Heading 1 2 3" xfId="21590"/>
    <cellStyle name="Heading 1 2 4" xfId="21591"/>
    <cellStyle name="Heading 1 2 5" xfId="18775"/>
    <cellStyle name="Heading 1 2_Note Calc" xfId="27378"/>
    <cellStyle name="Heading 1 20" xfId="18776"/>
    <cellStyle name="Heading 1 200" xfId="18777"/>
    <cellStyle name="Heading 1 201" xfId="21841"/>
    <cellStyle name="Heading 1 202" xfId="21706"/>
    <cellStyle name="Heading 1 203" xfId="21949"/>
    <cellStyle name="Heading 1 204" xfId="21919"/>
    <cellStyle name="Heading 1 21" xfId="18778"/>
    <cellStyle name="Heading 1 22" xfId="18779"/>
    <cellStyle name="Heading 1 23" xfId="18780"/>
    <cellStyle name="Heading 1 24" xfId="18781"/>
    <cellStyle name="Heading 1 25" xfId="18782"/>
    <cellStyle name="Heading 1 26" xfId="18783"/>
    <cellStyle name="Heading 1 27" xfId="18784"/>
    <cellStyle name="Heading 1 28" xfId="18785"/>
    <cellStyle name="Heading 1 29" xfId="18786"/>
    <cellStyle name="Heading 1 3" xfId="2274"/>
    <cellStyle name="Heading 1 3 2" xfId="18787"/>
    <cellStyle name="Heading 1 3_Note Calc" xfId="27379"/>
    <cellStyle name="Heading 1 30" xfId="18788"/>
    <cellStyle name="Heading 1 31" xfId="18789"/>
    <cellStyle name="Heading 1 32" xfId="18790"/>
    <cellStyle name="Heading 1 33" xfId="18791"/>
    <cellStyle name="Heading 1 34" xfId="18792"/>
    <cellStyle name="Heading 1 35" xfId="18793"/>
    <cellStyle name="Heading 1 36" xfId="18794"/>
    <cellStyle name="Heading 1 37" xfId="18795"/>
    <cellStyle name="Heading 1 38" xfId="18796"/>
    <cellStyle name="Heading 1 39" xfId="18797"/>
    <cellStyle name="Heading 1 4" xfId="2275"/>
    <cellStyle name="Heading 1 4 2" xfId="2276"/>
    <cellStyle name="Heading 1 4 3" xfId="2277"/>
    <cellStyle name="Heading 1 4 4" xfId="2278"/>
    <cellStyle name="Heading 1 4 5" xfId="18798"/>
    <cellStyle name="Heading 1 4_Note Calc" xfId="27380"/>
    <cellStyle name="Heading 1 40" xfId="18799"/>
    <cellStyle name="Heading 1 41" xfId="18800"/>
    <cellStyle name="Heading 1 42" xfId="18801"/>
    <cellStyle name="Heading 1 43" xfId="18802"/>
    <cellStyle name="Heading 1 44" xfId="18803"/>
    <cellStyle name="Heading 1 45" xfId="18804"/>
    <cellStyle name="Heading 1 46" xfId="18805"/>
    <cellStyle name="Heading 1 47" xfId="18806"/>
    <cellStyle name="Heading 1 48" xfId="18807"/>
    <cellStyle name="Heading 1 49" xfId="18808"/>
    <cellStyle name="Heading 1 5" xfId="2279"/>
    <cellStyle name="Heading 1 5 2" xfId="2280"/>
    <cellStyle name="Heading 1 5 3" xfId="2281"/>
    <cellStyle name="Heading 1 5 4" xfId="2282"/>
    <cellStyle name="Heading 1 5 5" xfId="18809"/>
    <cellStyle name="Heading 1 5_Note Calc" xfId="27381"/>
    <cellStyle name="Heading 1 50" xfId="18810"/>
    <cellStyle name="Heading 1 51" xfId="18811"/>
    <cellStyle name="Heading 1 52" xfId="18812"/>
    <cellStyle name="Heading 1 53" xfId="18813"/>
    <cellStyle name="Heading 1 54" xfId="18814"/>
    <cellStyle name="Heading 1 55" xfId="18815"/>
    <cellStyle name="Heading 1 56" xfId="18816"/>
    <cellStyle name="Heading 1 57" xfId="18817"/>
    <cellStyle name="Heading 1 58" xfId="18818"/>
    <cellStyle name="Heading 1 59" xfId="18819"/>
    <cellStyle name="Heading 1 6" xfId="2283"/>
    <cellStyle name="Heading 1 6 2" xfId="2284"/>
    <cellStyle name="Heading 1 6 3" xfId="2285"/>
    <cellStyle name="Heading 1 6 4" xfId="2286"/>
    <cellStyle name="Heading 1 6 5" xfId="18820"/>
    <cellStyle name="Heading 1 6_Note Calc" xfId="27382"/>
    <cellStyle name="Heading 1 60" xfId="18821"/>
    <cellStyle name="Heading 1 61" xfId="18822"/>
    <cellStyle name="Heading 1 62" xfId="18823"/>
    <cellStyle name="Heading 1 63" xfId="18824"/>
    <cellStyle name="Heading 1 64" xfId="18825"/>
    <cellStyle name="Heading 1 65" xfId="18826"/>
    <cellStyle name="Heading 1 66" xfId="18827"/>
    <cellStyle name="Heading 1 67" xfId="18828"/>
    <cellStyle name="Heading 1 68" xfId="18829"/>
    <cellStyle name="Heading 1 69" xfId="18830"/>
    <cellStyle name="Heading 1 7" xfId="2287"/>
    <cellStyle name="Heading 1 7 2" xfId="2288"/>
    <cellStyle name="Heading 1 7 3" xfId="2289"/>
    <cellStyle name="Heading 1 7 4" xfId="2290"/>
    <cellStyle name="Heading 1 7 5" xfId="18831"/>
    <cellStyle name="Heading 1 7_Note Calc" xfId="27383"/>
    <cellStyle name="Heading 1 70" xfId="18832"/>
    <cellStyle name="Heading 1 71" xfId="18833"/>
    <cellStyle name="Heading 1 72" xfId="18834"/>
    <cellStyle name="Heading 1 73" xfId="18835"/>
    <cellStyle name="Heading 1 74" xfId="18836"/>
    <cellStyle name="Heading 1 75" xfId="18837"/>
    <cellStyle name="Heading 1 76" xfId="18838"/>
    <cellStyle name="Heading 1 77" xfId="18839"/>
    <cellStyle name="Heading 1 78" xfId="18840"/>
    <cellStyle name="Heading 1 79" xfId="18841"/>
    <cellStyle name="Heading 1 8" xfId="2291"/>
    <cellStyle name="Heading 1 8 2" xfId="18842"/>
    <cellStyle name="Heading 1 8_Note Calc" xfId="27384"/>
    <cellStyle name="Heading 1 80" xfId="18843"/>
    <cellStyle name="Heading 1 81" xfId="18844"/>
    <cellStyle name="Heading 1 82" xfId="18845"/>
    <cellStyle name="Heading 1 83" xfId="18846"/>
    <cellStyle name="Heading 1 84" xfId="18847"/>
    <cellStyle name="Heading 1 85" xfId="18848"/>
    <cellStyle name="Heading 1 86" xfId="18849"/>
    <cellStyle name="Heading 1 87" xfId="18850"/>
    <cellStyle name="Heading 1 88" xfId="18851"/>
    <cellStyle name="Heading 1 89" xfId="18852"/>
    <cellStyle name="Heading 1 9" xfId="18853"/>
    <cellStyle name="Heading 1 90" xfId="18854"/>
    <cellStyle name="Heading 1 91" xfId="18855"/>
    <cellStyle name="Heading 1 92" xfId="18856"/>
    <cellStyle name="Heading 1 93" xfId="18857"/>
    <cellStyle name="Heading 1 94" xfId="18858"/>
    <cellStyle name="Heading 1 95" xfId="18859"/>
    <cellStyle name="Heading 1 96" xfId="18860"/>
    <cellStyle name="Heading 1 97" xfId="18861"/>
    <cellStyle name="Heading 1 98" xfId="18862"/>
    <cellStyle name="Heading 1 99" xfId="18863"/>
    <cellStyle name="Heading 2" xfId="2292" builtinId="17" customBuiltin="1"/>
    <cellStyle name="Heading 2 10" xfId="18864"/>
    <cellStyle name="Heading 2 100" xfId="18865"/>
    <cellStyle name="Heading 2 101" xfId="18866"/>
    <cellStyle name="Heading 2 102" xfId="18867"/>
    <cellStyle name="Heading 2 103" xfId="18868"/>
    <cellStyle name="Heading 2 104" xfId="18869"/>
    <cellStyle name="Heading 2 105" xfId="18870"/>
    <cellStyle name="Heading 2 106" xfId="18871"/>
    <cellStyle name="Heading 2 107" xfId="18872"/>
    <cellStyle name="Heading 2 108" xfId="18873"/>
    <cellStyle name="Heading 2 109" xfId="18874"/>
    <cellStyle name="Heading 2 11" xfId="18875"/>
    <cellStyle name="Heading 2 110" xfId="18876"/>
    <cellStyle name="Heading 2 111" xfId="18877"/>
    <cellStyle name="Heading 2 112" xfId="18878"/>
    <cellStyle name="Heading 2 113" xfId="18879"/>
    <cellStyle name="Heading 2 114" xfId="18880"/>
    <cellStyle name="Heading 2 115" xfId="18881"/>
    <cellStyle name="Heading 2 116" xfId="18882"/>
    <cellStyle name="Heading 2 117" xfId="18883"/>
    <cellStyle name="Heading 2 118" xfId="18884"/>
    <cellStyle name="Heading 2 119" xfId="18885"/>
    <cellStyle name="Heading 2 12" xfId="18886"/>
    <cellStyle name="Heading 2 120" xfId="18887"/>
    <cellStyle name="Heading 2 121" xfId="18888"/>
    <cellStyle name="Heading 2 122" xfId="18889"/>
    <cellStyle name="Heading 2 123" xfId="18890"/>
    <cellStyle name="Heading 2 124" xfId="18891"/>
    <cellStyle name="Heading 2 125" xfId="18892"/>
    <cellStyle name="Heading 2 126" xfId="18893"/>
    <cellStyle name="Heading 2 127" xfId="18894"/>
    <cellStyle name="Heading 2 128" xfId="18895"/>
    <cellStyle name="Heading 2 129" xfId="18896"/>
    <cellStyle name="Heading 2 13" xfId="18897"/>
    <cellStyle name="Heading 2 130" xfId="18898"/>
    <cellStyle name="Heading 2 131" xfId="18899"/>
    <cellStyle name="Heading 2 132" xfId="18900"/>
    <cellStyle name="Heading 2 133" xfId="18901"/>
    <cellStyle name="Heading 2 134" xfId="18902"/>
    <cellStyle name="Heading 2 135" xfId="18903"/>
    <cellStyle name="Heading 2 136" xfId="18904"/>
    <cellStyle name="Heading 2 137" xfId="18905"/>
    <cellStyle name="Heading 2 138" xfId="18906"/>
    <cellStyle name="Heading 2 139" xfId="18907"/>
    <cellStyle name="Heading 2 14" xfId="18908"/>
    <cellStyle name="Heading 2 140" xfId="18909"/>
    <cellStyle name="Heading 2 141" xfId="18910"/>
    <cellStyle name="Heading 2 142" xfId="18911"/>
    <cellStyle name="Heading 2 143" xfId="18912"/>
    <cellStyle name="Heading 2 144" xfId="18913"/>
    <cellStyle name="Heading 2 145" xfId="18914"/>
    <cellStyle name="Heading 2 146" xfId="18915"/>
    <cellStyle name="Heading 2 147" xfId="18916"/>
    <cellStyle name="Heading 2 148" xfId="18917"/>
    <cellStyle name="Heading 2 149" xfId="18918"/>
    <cellStyle name="Heading 2 15" xfId="18919"/>
    <cellStyle name="Heading 2 150" xfId="18920"/>
    <cellStyle name="Heading 2 151" xfId="18921"/>
    <cellStyle name="Heading 2 152" xfId="18922"/>
    <cellStyle name="Heading 2 153" xfId="18923"/>
    <cellStyle name="Heading 2 154" xfId="18924"/>
    <cellStyle name="Heading 2 155" xfId="18925"/>
    <cellStyle name="Heading 2 156" xfId="18926"/>
    <cellStyle name="Heading 2 157" xfId="18927"/>
    <cellStyle name="Heading 2 158" xfId="18928"/>
    <cellStyle name="Heading 2 159" xfId="18929"/>
    <cellStyle name="Heading 2 16" xfId="18930"/>
    <cellStyle name="Heading 2 160" xfId="18931"/>
    <cellStyle name="Heading 2 161" xfId="18932"/>
    <cellStyle name="Heading 2 162" xfId="18933"/>
    <cellStyle name="Heading 2 163" xfId="18934"/>
    <cellStyle name="Heading 2 163 2" xfId="21592"/>
    <cellStyle name="Heading 2 163 3" xfId="21593"/>
    <cellStyle name="Heading 2 163_Note Calc" xfId="27385"/>
    <cellStyle name="Heading 2 164" xfId="18935"/>
    <cellStyle name="Heading 2 165" xfId="18936"/>
    <cellStyle name="Heading 2 166" xfId="18937"/>
    <cellStyle name="Heading 2 167" xfId="18938"/>
    <cellStyle name="Heading 2 168" xfId="18939"/>
    <cellStyle name="Heading 2 169" xfId="18940"/>
    <cellStyle name="Heading 2 17" xfId="18941"/>
    <cellStyle name="Heading 2 170" xfId="18942"/>
    <cellStyle name="Heading 2 171" xfId="18943"/>
    <cellStyle name="Heading 2 172" xfId="18944"/>
    <cellStyle name="Heading 2 173" xfId="18945"/>
    <cellStyle name="Heading 2 174" xfId="18946"/>
    <cellStyle name="Heading 2 175" xfId="18947"/>
    <cellStyle name="Heading 2 176" xfId="18948"/>
    <cellStyle name="Heading 2 177" xfId="18949"/>
    <cellStyle name="Heading 2 178" xfId="18950"/>
    <cellStyle name="Heading 2 179" xfId="18951"/>
    <cellStyle name="Heading 2 18" xfId="18952"/>
    <cellStyle name="Heading 2 180" xfId="18953"/>
    <cellStyle name="Heading 2 181" xfId="18954"/>
    <cellStyle name="Heading 2 182" xfId="18955"/>
    <cellStyle name="Heading 2 183" xfId="18956"/>
    <cellStyle name="Heading 2 184" xfId="18957"/>
    <cellStyle name="Heading 2 185" xfId="18958"/>
    <cellStyle name="Heading 2 186" xfId="18959"/>
    <cellStyle name="Heading 2 187" xfId="18960"/>
    <cellStyle name="Heading 2 188" xfId="18961"/>
    <cellStyle name="Heading 2 189" xfId="18962"/>
    <cellStyle name="Heading 2 19" xfId="18963"/>
    <cellStyle name="Heading 2 190" xfId="18964"/>
    <cellStyle name="Heading 2 191" xfId="18965"/>
    <cellStyle name="Heading 2 192" xfId="18966"/>
    <cellStyle name="Heading 2 193" xfId="18967"/>
    <cellStyle name="Heading 2 194" xfId="18968"/>
    <cellStyle name="Heading 2 195" xfId="18969"/>
    <cellStyle name="Heading 2 196" xfId="18970"/>
    <cellStyle name="Heading 2 197" xfId="18971"/>
    <cellStyle name="Heading 2 198" xfId="18972"/>
    <cellStyle name="Heading 2 199" xfId="18973"/>
    <cellStyle name="Heading 2 2" xfId="2293"/>
    <cellStyle name="Heading 2 2 2" xfId="21594"/>
    <cellStyle name="Heading 2 2 3" xfId="21595"/>
    <cellStyle name="Heading 2 2 4" xfId="21596"/>
    <cellStyle name="Heading 2 2 5" xfId="18974"/>
    <cellStyle name="Heading 2 2_Note Calc" xfId="27386"/>
    <cellStyle name="Heading 2 20" xfId="18975"/>
    <cellStyle name="Heading 2 200" xfId="18976"/>
    <cellStyle name="Heading 2 201" xfId="21842"/>
    <cellStyle name="Heading 2 202" xfId="21707"/>
    <cellStyle name="Heading 2 203" xfId="21950"/>
    <cellStyle name="Heading 2 204" xfId="21918"/>
    <cellStyle name="Heading 2 21" xfId="18977"/>
    <cellStyle name="Heading 2 22" xfId="18978"/>
    <cellStyle name="Heading 2 23" xfId="18979"/>
    <cellStyle name="Heading 2 24" xfId="18980"/>
    <cellStyle name="Heading 2 25" xfId="18981"/>
    <cellStyle name="Heading 2 26" xfId="18982"/>
    <cellStyle name="Heading 2 27" xfId="18983"/>
    <cellStyle name="Heading 2 28" xfId="18984"/>
    <cellStyle name="Heading 2 29" xfId="18985"/>
    <cellStyle name="Heading 2 3" xfId="2294"/>
    <cellStyle name="Heading 2 3 2" xfId="18986"/>
    <cellStyle name="Heading 2 3_Note Calc" xfId="27387"/>
    <cellStyle name="Heading 2 30" xfId="18987"/>
    <cellStyle name="Heading 2 31" xfId="18988"/>
    <cellStyle name="Heading 2 32" xfId="18989"/>
    <cellStyle name="Heading 2 33" xfId="18990"/>
    <cellStyle name="Heading 2 34" xfId="18991"/>
    <cellStyle name="Heading 2 35" xfId="18992"/>
    <cellStyle name="Heading 2 36" xfId="18993"/>
    <cellStyle name="Heading 2 37" xfId="18994"/>
    <cellStyle name="Heading 2 38" xfId="18995"/>
    <cellStyle name="Heading 2 39" xfId="18996"/>
    <cellStyle name="Heading 2 4" xfId="2295"/>
    <cellStyle name="Heading 2 4 2" xfId="2296"/>
    <cellStyle name="Heading 2 4 3" xfId="2297"/>
    <cellStyle name="Heading 2 4 4" xfId="2298"/>
    <cellStyle name="Heading 2 4 5" xfId="18997"/>
    <cellStyle name="Heading 2 4_Note Calc" xfId="27388"/>
    <cellStyle name="Heading 2 40" xfId="18998"/>
    <cellStyle name="Heading 2 41" xfId="18999"/>
    <cellStyle name="Heading 2 42" xfId="19000"/>
    <cellStyle name="Heading 2 43" xfId="19001"/>
    <cellStyle name="Heading 2 44" xfId="19002"/>
    <cellStyle name="Heading 2 45" xfId="19003"/>
    <cellStyle name="Heading 2 46" xfId="19004"/>
    <cellStyle name="Heading 2 47" xfId="19005"/>
    <cellStyle name="Heading 2 48" xfId="19006"/>
    <cellStyle name="Heading 2 49" xfId="19007"/>
    <cellStyle name="Heading 2 5" xfId="2299"/>
    <cellStyle name="Heading 2 5 2" xfId="2300"/>
    <cellStyle name="Heading 2 5 3" xfId="2301"/>
    <cellStyle name="Heading 2 5 4" xfId="2302"/>
    <cellStyle name="Heading 2 5 5" xfId="19008"/>
    <cellStyle name="Heading 2 5_Note Calc" xfId="27389"/>
    <cellStyle name="Heading 2 50" xfId="19009"/>
    <cellStyle name="Heading 2 51" xfId="19010"/>
    <cellStyle name="Heading 2 52" xfId="19011"/>
    <cellStyle name="Heading 2 53" xfId="19012"/>
    <cellStyle name="Heading 2 54" xfId="19013"/>
    <cellStyle name="Heading 2 55" xfId="19014"/>
    <cellStyle name="Heading 2 56" xfId="19015"/>
    <cellStyle name="Heading 2 57" xfId="19016"/>
    <cellStyle name="Heading 2 58" xfId="19017"/>
    <cellStyle name="Heading 2 59" xfId="19018"/>
    <cellStyle name="Heading 2 6" xfId="2303"/>
    <cellStyle name="Heading 2 6 2" xfId="2304"/>
    <cellStyle name="Heading 2 6 3" xfId="2305"/>
    <cellStyle name="Heading 2 6 4" xfId="2306"/>
    <cellStyle name="Heading 2 6 5" xfId="19019"/>
    <cellStyle name="Heading 2 6_Note Calc" xfId="27390"/>
    <cellStyle name="Heading 2 60" xfId="19020"/>
    <cellStyle name="Heading 2 61" xfId="19021"/>
    <cellStyle name="Heading 2 62" xfId="19022"/>
    <cellStyle name="Heading 2 63" xfId="19023"/>
    <cellStyle name="Heading 2 64" xfId="19024"/>
    <cellStyle name="Heading 2 65" xfId="19025"/>
    <cellStyle name="Heading 2 66" xfId="19026"/>
    <cellStyle name="Heading 2 67" xfId="19027"/>
    <cellStyle name="Heading 2 68" xfId="19028"/>
    <cellStyle name="Heading 2 69" xfId="19029"/>
    <cellStyle name="Heading 2 7" xfId="2307"/>
    <cellStyle name="Heading 2 7 2" xfId="2308"/>
    <cellStyle name="Heading 2 7 3" xfId="2309"/>
    <cellStyle name="Heading 2 7 4" xfId="2310"/>
    <cellStyle name="Heading 2 7 5" xfId="19030"/>
    <cellStyle name="Heading 2 7_Note Calc" xfId="27391"/>
    <cellStyle name="Heading 2 70" xfId="19031"/>
    <cellStyle name="Heading 2 71" xfId="19032"/>
    <cellStyle name="Heading 2 72" xfId="19033"/>
    <cellStyle name="Heading 2 73" xfId="19034"/>
    <cellStyle name="Heading 2 74" xfId="19035"/>
    <cellStyle name="Heading 2 75" xfId="19036"/>
    <cellStyle name="Heading 2 76" xfId="19037"/>
    <cellStyle name="Heading 2 77" xfId="19038"/>
    <cellStyle name="Heading 2 78" xfId="19039"/>
    <cellStyle name="Heading 2 79" xfId="19040"/>
    <cellStyle name="Heading 2 8" xfId="2311"/>
    <cellStyle name="Heading 2 8 2" xfId="19041"/>
    <cellStyle name="Heading 2 8_Note Calc" xfId="27392"/>
    <cellStyle name="Heading 2 80" xfId="19042"/>
    <cellStyle name="Heading 2 81" xfId="19043"/>
    <cellStyle name="Heading 2 82" xfId="19044"/>
    <cellStyle name="Heading 2 83" xfId="19045"/>
    <cellStyle name="Heading 2 84" xfId="19046"/>
    <cellStyle name="Heading 2 85" xfId="19047"/>
    <cellStyle name="Heading 2 86" xfId="19048"/>
    <cellStyle name="Heading 2 87" xfId="19049"/>
    <cellStyle name="Heading 2 88" xfId="19050"/>
    <cellStyle name="Heading 2 89" xfId="19051"/>
    <cellStyle name="Heading 2 9" xfId="19052"/>
    <cellStyle name="Heading 2 90" xfId="19053"/>
    <cellStyle name="Heading 2 91" xfId="19054"/>
    <cellStyle name="Heading 2 92" xfId="19055"/>
    <cellStyle name="Heading 2 93" xfId="19056"/>
    <cellStyle name="Heading 2 94" xfId="19057"/>
    <cellStyle name="Heading 2 95" xfId="19058"/>
    <cellStyle name="Heading 2 96" xfId="19059"/>
    <cellStyle name="Heading 2 97" xfId="19060"/>
    <cellStyle name="Heading 2 98" xfId="19061"/>
    <cellStyle name="Heading 2 99" xfId="19062"/>
    <cellStyle name="Heading 3" xfId="2312" builtinId="18" customBuiltin="1"/>
    <cellStyle name="Heading 3 10" xfId="19063"/>
    <cellStyle name="Heading 3 100" xfId="19064"/>
    <cellStyle name="Heading 3 101" xfId="19065"/>
    <cellStyle name="Heading 3 102" xfId="19066"/>
    <cellStyle name="Heading 3 103" xfId="19067"/>
    <cellStyle name="Heading 3 104" xfId="19068"/>
    <cellStyle name="Heading 3 105" xfId="19069"/>
    <cellStyle name="Heading 3 106" xfId="19070"/>
    <cellStyle name="Heading 3 107" xfId="19071"/>
    <cellStyle name="Heading 3 108" xfId="19072"/>
    <cellStyle name="Heading 3 109" xfId="19073"/>
    <cellStyle name="Heading 3 11" xfId="19074"/>
    <cellStyle name="Heading 3 110" xfId="19075"/>
    <cellStyle name="Heading 3 111" xfId="19076"/>
    <cellStyle name="Heading 3 112" xfId="19077"/>
    <cellStyle name="Heading 3 113" xfId="19078"/>
    <cellStyle name="Heading 3 114" xfId="19079"/>
    <cellStyle name="Heading 3 115" xfId="19080"/>
    <cellStyle name="Heading 3 116" xfId="19081"/>
    <cellStyle name="Heading 3 117" xfId="19082"/>
    <cellStyle name="Heading 3 118" xfId="19083"/>
    <cellStyle name="Heading 3 119" xfId="19084"/>
    <cellStyle name="Heading 3 12" xfId="19085"/>
    <cellStyle name="Heading 3 120" xfId="19086"/>
    <cellStyle name="Heading 3 121" xfId="19087"/>
    <cellStyle name="Heading 3 122" xfId="19088"/>
    <cellStyle name="Heading 3 123" xfId="19089"/>
    <cellStyle name="Heading 3 124" xfId="19090"/>
    <cellStyle name="Heading 3 125" xfId="19091"/>
    <cellStyle name="Heading 3 126" xfId="19092"/>
    <cellStyle name="Heading 3 127" xfId="19093"/>
    <cellStyle name="Heading 3 128" xfId="19094"/>
    <cellStyle name="Heading 3 129" xfId="19095"/>
    <cellStyle name="Heading 3 13" xfId="19096"/>
    <cellStyle name="Heading 3 130" xfId="19097"/>
    <cellStyle name="Heading 3 131" xfId="19098"/>
    <cellStyle name="Heading 3 132" xfId="19099"/>
    <cellStyle name="Heading 3 133" xfId="19100"/>
    <cellStyle name="Heading 3 134" xfId="19101"/>
    <cellStyle name="Heading 3 135" xfId="19102"/>
    <cellStyle name="Heading 3 136" xfId="19103"/>
    <cellStyle name="Heading 3 137" xfId="19104"/>
    <cellStyle name="Heading 3 138" xfId="19105"/>
    <cellStyle name="Heading 3 139" xfId="19106"/>
    <cellStyle name="Heading 3 14" xfId="19107"/>
    <cellStyle name="Heading 3 140" xfId="19108"/>
    <cellStyle name="Heading 3 141" xfId="19109"/>
    <cellStyle name="Heading 3 142" xfId="19110"/>
    <cellStyle name="Heading 3 143" xfId="19111"/>
    <cellStyle name="Heading 3 144" xfId="19112"/>
    <cellStyle name="Heading 3 145" xfId="19113"/>
    <cellStyle name="Heading 3 146" xfId="19114"/>
    <cellStyle name="Heading 3 147" xfId="19115"/>
    <cellStyle name="Heading 3 148" xfId="19116"/>
    <cellStyle name="Heading 3 149" xfId="19117"/>
    <cellStyle name="Heading 3 15" xfId="19118"/>
    <cellStyle name="Heading 3 150" xfId="19119"/>
    <cellStyle name="Heading 3 151" xfId="19120"/>
    <cellStyle name="Heading 3 152" xfId="19121"/>
    <cellStyle name="Heading 3 153" xfId="19122"/>
    <cellStyle name="Heading 3 154" xfId="19123"/>
    <cellStyle name="Heading 3 155" xfId="19124"/>
    <cellStyle name="Heading 3 156" xfId="19125"/>
    <cellStyle name="Heading 3 157" xfId="19126"/>
    <cellStyle name="Heading 3 158" xfId="19127"/>
    <cellStyle name="Heading 3 159" xfId="19128"/>
    <cellStyle name="Heading 3 16" xfId="19129"/>
    <cellStyle name="Heading 3 160" xfId="19130"/>
    <cellStyle name="Heading 3 161" xfId="19131"/>
    <cellStyle name="Heading 3 162" xfId="19132"/>
    <cellStyle name="Heading 3 163" xfId="19133"/>
    <cellStyle name="Heading 3 163 2" xfId="21597"/>
    <cellStyle name="Heading 3 163 3" xfId="21598"/>
    <cellStyle name="Heading 3 163_Note Calc" xfId="27393"/>
    <cellStyle name="Heading 3 164" xfId="19134"/>
    <cellStyle name="Heading 3 165" xfId="19135"/>
    <cellStyle name="Heading 3 166" xfId="19136"/>
    <cellStyle name="Heading 3 167" xfId="19137"/>
    <cellStyle name="Heading 3 168" xfId="19138"/>
    <cellStyle name="Heading 3 169" xfId="19139"/>
    <cellStyle name="Heading 3 17" xfId="19140"/>
    <cellStyle name="Heading 3 170" xfId="19141"/>
    <cellStyle name="Heading 3 171" xfId="19142"/>
    <cellStyle name="Heading 3 172" xfId="19143"/>
    <cellStyle name="Heading 3 173" xfId="19144"/>
    <cellStyle name="Heading 3 174" xfId="19145"/>
    <cellStyle name="Heading 3 175" xfId="19146"/>
    <cellStyle name="Heading 3 176" xfId="19147"/>
    <cellStyle name="Heading 3 177" xfId="19148"/>
    <cellStyle name="Heading 3 178" xfId="19149"/>
    <cellStyle name="Heading 3 179" xfId="19150"/>
    <cellStyle name="Heading 3 18" xfId="19151"/>
    <cellStyle name="Heading 3 180" xfId="19152"/>
    <cellStyle name="Heading 3 181" xfId="19153"/>
    <cellStyle name="Heading 3 182" xfId="19154"/>
    <cellStyle name="Heading 3 183" xfId="19155"/>
    <cellStyle name="Heading 3 184" xfId="19156"/>
    <cellStyle name="Heading 3 185" xfId="19157"/>
    <cellStyle name="Heading 3 186" xfId="19158"/>
    <cellStyle name="Heading 3 187" xfId="19159"/>
    <cellStyle name="Heading 3 188" xfId="19160"/>
    <cellStyle name="Heading 3 189" xfId="19161"/>
    <cellStyle name="Heading 3 19" xfId="19162"/>
    <cellStyle name="Heading 3 190" xfId="19163"/>
    <cellStyle name="Heading 3 191" xfId="19164"/>
    <cellStyle name="Heading 3 192" xfId="19165"/>
    <cellStyle name="Heading 3 193" xfId="19166"/>
    <cellStyle name="Heading 3 194" xfId="19167"/>
    <cellStyle name="Heading 3 195" xfId="19168"/>
    <cellStyle name="Heading 3 196" xfId="19169"/>
    <cellStyle name="Heading 3 197" xfId="19170"/>
    <cellStyle name="Heading 3 198" xfId="19171"/>
    <cellStyle name="Heading 3 199" xfId="19172"/>
    <cellStyle name="Heading 3 2" xfId="2313"/>
    <cellStyle name="Heading 3 2 2" xfId="21599"/>
    <cellStyle name="Heading 3 2 3" xfId="21600"/>
    <cellStyle name="Heading 3 2 4" xfId="21601"/>
    <cellStyle name="Heading 3 2 5" xfId="19173"/>
    <cellStyle name="Heading 3 2_Note Calc" xfId="27394"/>
    <cellStyle name="Heading 3 20" xfId="19174"/>
    <cellStyle name="Heading 3 200" xfId="19175"/>
    <cellStyle name="Heading 3 201" xfId="21843"/>
    <cellStyle name="Heading 3 202" xfId="21708"/>
    <cellStyle name="Heading 3 203" xfId="21951"/>
    <cellStyle name="Heading 3 204" xfId="21917"/>
    <cellStyle name="Heading 3 21" xfId="19176"/>
    <cellStyle name="Heading 3 22" xfId="19177"/>
    <cellStyle name="Heading 3 23" xfId="19178"/>
    <cellStyle name="Heading 3 24" xfId="19179"/>
    <cellStyle name="Heading 3 25" xfId="19180"/>
    <cellStyle name="Heading 3 26" xfId="19181"/>
    <cellStyle name="Heading 3 27" xfId="19182"/>
    <cellStyle name="Heading 3 28" xfId="19183"/>
    <cellStyle name="Heading 3 29" xfId="19184"/>
    <cellStyle name="Heading 3 3" xfId="19185"/>
    <cellStyle name="Heading 3 30" xfId="19186"/>
    <cellStyle name="Heading 3 31" xfId="19187"/>
    <cellStyle name="Heading 3 32" xfId="19188"/>
    <cellStyle name="Heading 3 33" xfId="19189"/>
    <cellStyle name="Heading 3 34" xfId="19190"/>
    <cellStyle name="Heading 3 35" xfId="19191"/>
    <cellStyle name="Heading 3 36" xfId="19192"/>
    <cellStyle name="Heading 3 37" xfId="19193"/>
    <cellStyle name="Heading 3 38" xfId="19194"/>
    <cellStyle name="Heading 3 39" xfId="19195"/>
    <cellStyle name="Heading 3 4" xfId="19196"/>
    <cellStyle name="Heading 3 40" xfId="19197"/>
    <cellStyle name="Heading 3 41" xfId="19198"/>
    <cellStyle name="Heading 3 42" xfId="19199"/>
    <cellStyle name="Heading 3 43" xfId="19200"/>
    <cellStyle name="Heading 3 44" xfId="19201"/>
    <cellStyle name="Heading 3 45" xfId="19202"/>
    <cellStyle name="Heading 3 46" xfId="19203"/>
    <cellStyle name="Heading 3 47" xfId="19204"/>
    <cellStyle name="Heading 3 48" xfId="19205"/>
    <cellStyle name="Heading 3 49" xfId="19206"/>
    <cellStyle name="Heading 3 5" xfId="19207"/>
    <cellStyle name="Heading 3 50" xfId="19208"/>
    <cellStyle name="Heading 3 51" xfId="19209"/>
    <cellStyle name="Heading 3 52" xfId="19210"/>
    <cellStyle name="Heading 3 53" xfId="19211"/>
    <cellStyle name="Heading 3 54" xfId="19212"/>
    <cellStyle name="Heading 3 55" xfId="19213"/>
    <cellStyle name="Heading 3 56" xfId="19214"/>
    <cellStyle name="Heading 3 57" xfId="19215"/>
    <cellStyle name="Heading 3 58" xfId="19216"/>
    <cellStyle name="Heading 3 59" xfId="19217"/>
    <cellStyle name="Heading 3 6" xfId="19218"/>
    <cellStyle name="Heading 3 60" xfId="19219"/>
    <cellStyle name="Heading 3 61" xfId="19220"/>
    <cellStyle name="Heading 3 62" xfId="19221"/>
    <cellStyle name="Heading 3 63" xfId="19222"/>
    <cellStyle name="Heading 3 64" xfId="19223"/>
    <cellStyle name="Heading 3 65" xfId="19224"/>
    <cellStyle name="Heading 3 66" xfId="19225"/>
    <cellStyle name="Heading 3 67" xfId="19226"/>
    <cellStyle name="Heading 3 68" xfId="19227"/>
    <cellStyle name="Heading 3 69" xfId="19228"/>
    <cellStyle name="Heading 3 7" xfId="19229"/>
    <cellStyle name="Heading 3 70" xfId="19230"/>
    <cellStyle name="Heading 3 71" xfId="19231"/>
    <cellStyle name="Heading 3 72" xfId="19232"/>
    <cellStyle name="Heading 3 73" xfId="19233"/>
    <cellStyle name="Heading 3 74" xfId="19234"/>
    <cellStyle name="Heading 3 75" xfId="19235"/>
    <cellStyle name="Heading 3 76" xfId="19236"/>
    <cellStyle name="Heading 3 77" xfId="19237"/>
    <cellStyle name="Heading 3 78" xfId="19238"/>
    <cellStyle name="Heading 3 79" xfId="19239"/>
    <cellStyle name="Heading 3 8" xfId="19240"/>
    <cellStyle name="Heading 3 80" xfId="19241"/>
    <cellStyle name="Heading 3 81" xfId="19242"/>
    <cellStyle name="Heading 3 82" xfId="19243"/>
    <cellStyle name="Heading 3 83" xfId="19244"/>
    <cellStyle name="Heading 3 84" xfId="19245"/>
    <cellStyle name="Heading 3 85" xfId="19246"/>
    <cellStyle name="Heading 3 86" xfId="19247"/>
    <cellStyle name="Heading 3 87" xfId="19248"/>
    <cellStyle name="Heading 3 88" xfId="19249"/>
    <cellStyle name="Heading 3 89" xfId="19250"/>
    <cellStyle name="Heading 3 9" xfId="19251"/>
    <cellStyle name="Heading 3 90" xfId="19252"/>
    <cellStyle name="Heading 3 91" xfId="19253"/>
    <cellStyle name="Heading 3 92" xfId="19254"/>
    <cellStyle name="Heading 3 93" xfId="19255"/>
    <cellStyle name="Heading 3 94" xfId="19256"/>
    <cellStyle name="Heading 3 95" xfId="19257"/>
    <cellStyle name="Heading 3 96" xfId="19258"/>
    <cellStyle name="Heading 3 97" xfId="19259"/>
    <cellStyle name="Heading 3 98" xfId="19260"/>
    <cellStyle name="Heading 3 99" xfId="19261"/>
    <cellStyle name="Heading 4" xfId="2314" builtinId="19" customBuiltin="1"/>
    <cellStyle name="Heading 4 10" xfId="19262"/>
    <cellStyle name="Heading 4 100" xfId="19263"/>
    <cellStyle name="Heading 4 101" xfId="19264"/>
    <cellStyle name="Heading 4 102" xfId="19265"/>
    <cellStyle name="Heading 4 103" xfId="19266"/>
    <cellStyle name="Heading 4 104" xfId="19267"/>
    <cellStyle name="Heading 4 105" xfId="19268"/>
    <cellStyle name="Heading 4 106" xfId="19269"/>
    <cellStyle name="Heading 4 107" xfId="19270"/>
    <cellStyle name="Heading 4 108" xfId="19271"/>
    <cellStyle name="Heading 4 109" xfId="19272"/>
    <cellStyle name="Heading 4 11" xfId="19273"/>
    <cellStyle name="Heading 4 110" xfId="19274"/>
    <cellStyle name="Heading 4 111" xfId="19275"/>
    <cellStyle name="Heading 4 112" xfId="19276"/>
    <cellStyle name="Heading 4 113" xfId="19277"/>
    <cellStyle name="Heading 4 114" xfId="19278"/>
    <cellStyle name="Heading 4 115" xfId="19279"/>
    <cellStyle name="Heading 4 116" xfId="19280"/>
    <cellStyle name="Heading 4 117" xfId="19281"/>
    <cellStyle name="Heading 4 118" xfId="19282"/>
    <cellStyle name="Heading 4 119" xfId="19283"/>
    <cellStyle name="Heading 4 12" xfId="19284"/>
    <cellStyle name="Heading 4 120" xfId="19285"/>
    <cellStyle name="Heading 4 121" xfId="19286"/>
    <cellStyle name="Heading 4 122" xfId="19287"/>
    <cellStyle name="Heading 4 123" xfId="19288"/>
    <cellStyle name="Heading 4 124" xfId="19289"/>
    <cellStyle name="Heading 4 125" xfId="19290"/>
    <cellStyle name="Heading 4 126" xfId="19291"/>
    <cellStyle name="Heading 4 127" xfId="19292"/>
    <cellStyle name="Heading 4 128" xfId="19293"/>
    <cellStyle name="Heading 4 129" xfId="19294"/>
    <cellStyle name="Heading 4 13" xfId="19295"/>
    <cellStyle name="Heading 4 130" xfId="19296"/>
    <cellStyle name="Heading 4 131" xfId="19297"/>
    <cellStyle name="Heading 4 132" xfId="19298"/>
    <cellStyle name="Heading 4 133" xfId="19299"/>
    <cellStyle name="Heading 4 134" xfId="19300"/>
    <cellStyle name="Heading 4 135" xfId="19301"/>
    <cellStyle name="Heading 4 136" xfId="19302"/>
    <cellStyle name="Heading 4 137" xfId="19303"/>
    <cellStyle name="Heading 4 138" xfId="19304"/>
    <cellStyle name="Heading 4 139" xfId="19305"/>
    <cellStyle name="Heading 4 14" xfId="19306"/>
    <cellStyle name="Heading 4 140" xfId="19307"/>
    <cellStyle name="Heading 4 141" xfId="19308"/>
    <cellStyle name="Heading 4 142" xfId="19309"/>
    <cellStyle name="Heading 4 143" xfId="19310"/>
    <cellStyle name="Heading 4 144" xfId="19311"/>
    <cellStyle name="Heading 4 145" xfId="19312"/>
    <cellStyle name="Heading 4 146" xfId="19313"/>
    <cellStyle name="Heading 4 147" xfId="19314"/>
    <cellStyle name="Heading 4 148" xfId="19315"/>
    <cellStyle name="Heading 4 149" xfId="19316"/>
    <cellStyle name="Heading 4 15" xfId="19317"/>
    <cellStyle name="Heading 4 150" xfId="19318"/>
    <cellStyle name="Heading 4 151" xfId="19319"/>
    <cellStyle name="Heading 4 152" xfId="19320"/>
    <cellStyle name="Heading 4 153" xfId="19321"/>
    <cellStyle name="Heading 4 154" xfId="19322"/>
    <cellStyle name="Heading 4 155" xfId="19323"/>
    <cellStyle name="Heading 4 156" xfId="19324"/>
    <cellStyle name="Heading 4 157" xfId="19325"/>
    <cellStyle name="Heading 4 158" xfId="19326"/>
    <cellStyle name="Heading 4 159" xfId="19327"/>
    <cellStyle name="Heading 4 16" xfId="19328"/>
    <cellStyle name="Heading 4 160" xfId="19329"/>
    <cellStyle name="Heading 4 161" xfId="19330"/>
    <cellStyle name="Heading 4 162" xfId="19331"/>
    <cellStyle name="Heading 4 163" xfId="19332"/>
    <cellStyle name="Heading 4 163 2" xfId="21602"/>
    <cellStyle name="Heading 4 163 3" xfId="21603"/>
    <cellStyle name="Heading 4 163_Note Calc" xfId="27395"/>
    <cellStyle name="Heading 4 164" xfId="19333"/>
    <cellStyle name="Heading 4 165" xfId="19334"/>
    <cellStyle name="Heading 4 166" xfId="19335"/>
    <cellStyle name="Heading 4 167" xfId="19336"/>
    <cellStyle name="Heading 4 168" xfId="19337"/>
    <cellStyle name="Heading 4 169" xfId="19338"/>
    <cellStyle name="Heading 4 17" xfId="19339"/>
    <cellStyle name="Heading 4 170" xfId="19340"/>
    <cellStyle name="Heading 4 171" xfId="19341"/>
    <cellStyle name="Heading 4 172" xfId="19342"/>
    <cellStyle name="Heading 4 173" xfId="19343"/>
    <cellStyle name="Heading 4 174" xfId="19344"/>
    <cellStyle name="Heading 4 175" xfId="19345"/>
    <cellStyle name="Heading 4 176" xfId="19346"/>
    <cellStyle name="Heading 4 177" xfId="19347"/>
    <cellStyle name="Heading 4 178" xfId="19348"/>
    <cellStyle name="Heading 4 179" xfId="19349"/>
    <cellStyle name="Heading 4 18" xfId="19350"/>
    <cellStyle name="Heading 4 180" xfId="19351"/>
    <cellStyle name="Heading 4 181" xfId="19352"/>
    <cellStyle name="Heading 4 182" xfId="19353"/>
    <cellStyle name="Heading 4 183" xfId="19354"/>
    <cellStyle name="Heading 4 184" xfId="19355"/>
    <cellStyle name="Heading 4 185" xfId="19356"/>
    <cellStyle name="Heading 4 186" xfId="19357"/>
    <cellStyle name="Heading 4 187" xfId="19358"/>
    <cellStyle name="Heading 4 188" xfId="19359"/>
    <cellStyle name="Heading 4 189" xfId="19360"/>
    <cellStyle name="Heading 4 19" xfId="19361"/>
    <cellStyle name="Heading 4 190" xfId="19362"/>
    <cellStyle name="Heading 4 191" xfId="19363"/>
    <cellStyle name="Heading 4 192" xfId="19364"/>
    <cellStyle name="Heading 4 193" xfId="19365"/>
    <cellStyle name="Heading 4 194" xfId="19366"/>
    <cellStyle name="Heading 4 195" xfId="19367"/>
    <cellStyle name="Heading 4 196" xfId="19368"/>
    <cellStyle name="Heading 4 197" xfId="19369"/>
    <cellStyle name="Heading 4 198" xfId="19370"/>
    <cellStyle name="Heading 4 199" xfId="19371"/>
    <cellStyle name="Heading 4 2" xfId="2315"/>
    <cellStyle name="Heading 4 2 2" xfId="21604"/>
    <cellStyle name="Heading 4 2 3" xfId="21605"/>
    <cellStyle name="Heading 4 2 4" xfId="21606"/>
    <cellStyle name="Heading 4 2 5" xfId="19372"/>
    <cellStyle name="Heading 4 2_Note Calc" xfId="27396"/>
    <cellStyle name="Heading 4 20" xfId="19373"/>
    <cellStyle name="Heading 4 200" xfId="19374"/>
    <cellStyle name="Heading 4 201" xfId="21844"/>
    <cellStyle name="Heading 4 202" xfId="21709"/>
    <cellStyle name="Heading 4 203" xfId="21952"/>
    <cellStyle name="Heading 4 204" xfId="21916"/>
    <cellStyle name="Heading 4 21" xfId="19375"/>
    <cellStyle name="Heading 4 22" xfId="19376"/>
    <cellStyle name="Heading 4 23" xfId="19377"/>
    <cellStyle name="Heading 4 24" xfId="19378"/>
    <cellStyle name="Heading 4 25" xfId="19379"/>
    <cellStyle name="Heading 4 26" xfId="19380"/>
    <cellStyle name="Heading 4 27" xfId="19381"/>
    <cellStyle name="Heading 4 28" xfId="19382"/>
    <cellStyle name="Heading 4 29" xfId="19383"/>
    <cellStyle name="Heading 4 3" xfId="19384"/>
    <cellStyle name="Heading 4 30" xfId="19385"/>
    <cellStyle name="Heading 4 31" xfId="19386"/>
    <cellStyle name="Heading 4 32" xfId="19387"/>
    <cellStyle name="Heading 4 33" xfId="19388"/>
    <cellStyle name="Heading 4 34" xfId="19389"/>
    <cellStyle name="Heading 4 35" xfId="19390"/>
    <cellStyle name="Heading 4 36" xfId="19391"/>
    <cellStyle name="Heading 4 37" xfId="19392"/>
    <cellStyle name="Heading 4 38" xfId="19393"/>
    <cellStyle name="Heading 4 39" xfId="19394"/>
    <cellStyle name="Heading 4 4" xfId="19395"/>
    <cellStyle name="Heading 4 40" xfId="19396"/>
    <cellStyle name="Heading 4 41" xfId="19397"/>
    <cellStyle name="Heading 4 42" xfId="19398"/>
    <cellStyle name="Heading 4 43" xfId="19399"/>
    <cellStyle name="Heading 4 44" xfId="19400"/>
    <cellStyle name="Heading 4 45" xfId="19401"/>
    <cellStyle name="Heading 4 46" xfId="19402"/>
    <cellStyle name="Heading 4 47" xfId="19403"/>
    <cellStyle name="Heading 4 48" xfId="19404"/>
    <cellStyle name="Heading 4 49" xfId="19405"/>
    <cellStyle name="Heading 4 5" xfId="19406"/>
    <cellStyle name="Heading 4 50" xfId="19407"/>
    <cellStyle name="Heading 4 51" xfId="19408"/>
    <cellStyle name="Heading 4 52" xfId="19409"/>
    <cellStyle name="Heading 4 53" xfId="19410"/>
    <cellStyle name="Heading 4 54" xfId="19411"/>
    <cellStyle name="Heading 4 55" xfId="19412"/>
    <cellStyle name="Heading 4 56" xfId="19413"/>
    <cellStyle name="Heading 4 57" xfId="19414"/>
    <cellStyle name="Heading 4 58" xfId="19415"/>
    <cellStyle name="Heading 4 59" xfId="19416"/>
    <cellStyle name="Heading 4 6" xfId="19417"/>
    <cellStyle name="Heading 4 60" xfId="19418"/>
    <cellStyle name="Heading 4 61" xfId="19419"/>
    <cellStyle name="Heading 4 62" xfId="19420"/>
    <cellStyle name="Heading 4 63" xfId="19421"/>
    <cellStyle name="Heading 4 64" xfId="19422"/>
    <cellStyle name="Heading 4 65" xfId="19423"/>
    <cellStyle name="Heading 4 66" xfId="19424"/>
    <cellStyle name="Heading 4 67" xfId="19425"/>
    <cellStyle name="Heading 4 68" xfId="19426"/>
    <cellStyle name="Heading 4 69" xfId="19427"/>
    <cellStyle name="Heading 4 7" xfId="19428"/>
    <cellStyle name="Heading 4 70" xfId="19429"/>
    <cellStyle name="Heading 4 71" xfId="19430"/>
    <cellStyle name="Heading 4 72" xfId="19431"/>
    <cellStyle name="Heading 4 73" xfId="19432"/>
    <cellStyle name="Heading 4 74" xfId="19433"/>
    <cellStyle name="Heading 4 75" xfId="19434"/>
    <cellStyle name="Heading 4 76" xfId="19435"/>
    <cellStyle name="Heading 4 77" xfId="19436"/>
    <cellStyle name="Heading 4 78" xfId="19437"/>
    <cellStyle name="Heading 4 79" xfId="19438"/>
    <cellStyle name="Heading 4 8" xfId="19439"/>
    <cellStyle name="Heading 4 80" xfId="19440"/>
    <cellStyle name="Heading 4 81" xfId="19441"/>
    <cellStyle name="Heading 4 82" xfId="19442"/>
    <cellStyle name="Heading 4 83" xfId="19443"/>
    <cellStyle name="Heading 4 84" xfId="19444"/>
    <cellStyle name="Heading 4 85" xfId="19445"/>
    <cellStyle name="Heading 4 86" xfId="19446"/>
    <cellStyle name="Heading 4 87" xfId="19447"/>
    <cellStyle name="Heading 4 88" xfId="19448"/>
    <cellStyle name="Heading 4 89" xfId="19449"/>
    <cellStyle name="Heading 4 9" xfId="19450"/>
    <cellStyle name="Heading 4 90" xfId="19451"/>
    <cellStyle name="Heading 4 91" xfId="19452"/>
    <cellStyle name="Heading 4 92" xfId="19453"/>
    <cellStyle name="Heading 4 93" xfId="19454"/>
    <cellStyle name="Heading 4 94" xfId="19455"/>
    <cellStyle name="Heading 4 95" xfId="19456"/>
    <cellStyle name="Heading 4 96" xfId="19457"/>
    <cellStyle name="Heading 4 97" xfId="19458"/>
    <cellStyle name="Heading 4 98" xfId="19459"/>
    <cellStyle name="Heading 4 99" xfId="19460"/>
    <cellStyle name="Hyperlink 2" xfId="12097"/>
    <cellStyle name="Hyperlink 2 2" xfId="19461"/>
    <cellStyle name="Hyperlink 2_Note Calc" xfId="27397"/>
    <cellStyle name="Hyperlink 3" xfId="12128"/>
    <cellStyle name="Hyperlink 4" xfId="21858"/>
    <cellStyle name="Hyperlink 5" xfId="21989"/>
    <cellStyle name="Hyperlink 6" xfId="21990"/>
    <cellStyle name="Input" xfId="2316" builtinId="20" customBuiltin="1"/>
    <cellStyle name="Input 10" xfId="12225"/>
    <cellStyle name="Input 100" xfId="19462"/>
    <cellStyle name="Input 101" xfId="19463"/>
    <cellStyle name="Input 102" xfId="19464"/>
    <cellStyle name="Input 103" xfId="19465"/>
    <cellStyle name="Input 104" xfId="19466"/>
    <cellStyle name="Input 105" xfId="19467"/>
    <cellStyle name="Input 106" xfId="19468"/>
    <cellStyle name="Input 107" xfId="19469"/>
    <cellStyle name="Input 108" xfId="19470"/>
    <cellStyle name="Input 109" xfId="19471"/>
    <cellStyle name="Input 11" xfId="19472"/>
    <cellStyle name="Input 110" xfId="19473"/>
    <cellStyle name="Input 111" xfId="19474"/>
    <cellStyle name="Input 112" xfId="19475"/>
    <cellStyle name="Input 113" xfId="19476"/>
    <cellStyle name="Input 114" xfId="19477"/>
    <cellStyle name="Input 115" xfId="19478"/>
    <cellStyle name="Input 116" xfId="19479"/>
    <cellStyle name="Input 117" xfId="19480"/>
    <cellStyle name="Input 118" xfId="19481"/>
    <cellStyle name="Input 119" xfId="19482"/>
    <cellStyle name="Input 12" xfId="19483"/>
    <cellStyle name="Input 120" xfId="19484"/>
    <cellStyle name="Input 121" xfId="19485"/>
    <cellStyle name="Input 122" xfId="19486"/>
    <cellStyle name="Input 123" xfId="19487"/>
    <cellStyle name="Input 124" xfId="19488"/>
    <cellStyle name="Input 125" xfId="19489"/>
    <cellStyle name="Input 126" xfId="19490"/>
    <cellStyle name="Input 127" xfId="19491"/>
    <cellStyle name="Input 128" xfId="19492"/>
    <cellStyle name="Input 129" xfId="19493"/>
    <cellStyle name="Input 13" xfId="19494"/>
    <cellStyle name="Input 130" xfId="19495"/>
    <cellStyle name="Input 131" xfId="19496"/>
    <cellStyle name="Input 132" xfId="19497"/>
    <cellStyle name="Input 133" xfId="19498"/>
    <cellStyle name="Input 134" xfId="19499"/>
    <cellStyle name="Input 135" xfId="19500"/>
    <cellStyle name="Input 136" xfId="19501"/>
    <cellStyle name="Input 137" xfId="19502"/>
    <cellStyle name="Input 138" xfId="19503"/>
    <cellStyle name="Input 139" xfId="19504"/>
    <cellStyle name="Input 14" xfId="19505"/>
    <cellStyle name="Input 140" xfId="19506"/>
    <cellStyle name="Input 141" xfId="19507"/>
    <cellStyle name="Input 142" xfId="19508"/>
    <cellStyle name="Input 143" xfId="19509"/>
    <cellStyle name="Input 144" xfId="19510"/>
    <cellStyle name="Input 145" xfId="19511"/>
    <cellStyle name="Input 146" xfId="19512"/>
    <cellStyle name="Input 147" xfId="19513"/>
    <cellStyle name="Input 148" xfId="19514"/>
    <cellStyle name="Input 149" xfId="19515"/>
    <cellStyle name="Input 15" xfId="19516"/>
    <cellStyle name="Input 150" xfId="19517"/>
    <cellStyle name="Input 151" xfId="19518"/>
    <cellStyle name="Input 152" xfId="19519"/>
    <cellStyle name="Input 153" xfId="19520"/>
    <cellStyle name="Input 154" xfId="19521"/>
    <cellStyle name="Input 155" xfId="19522"/>
    <cellStyle name="Input 156" xfId="19523"/>
    <cellStyle name="Input 157" xfId="19524"/>
    <cellStyle name="Input 158" xfId="19525"/>
    <cellStyle name="Input 159" xfId="19526"/>
    <cellStyle name="Input 16" xfId="19527"/>
    <cellStyle name="Input 160" xfId="19528"/>
    <cellStyle name="Input 161" xfId="19529"/>
    <cellStyle name="Input 162" xfId="19530"/>
    <cellStyle name="Input 163" xfId="19531"/>
    <cellStyle name="Input 163 2" xfId="21607"/>
    <cellStyle name="Input 163 3" xfId="21608"/>
    <cellStyle name="Input 163_Note Calc" xfId="27398"/>
    <cellStyle name="Input 164" xfId="19532"/>
    <cellStyle name="Input 165" xfId="19533"/>
    <cellStyle name="Input 166" xfId="19534"/>
    <cellStyle name="Input 167" xfId="19535"/>
    <cellStyle name="Input 168" xfId="19536"/>
    <cellStyle name="Input 169" xfId="19537"/>
    <cellStyle name="Input 17" xfId="19538"/>
    <cellStyle name="Input 170" xfId="19539"/>
    <cellStyle name="Input 171" xfId="19540"/>
    <cellStyle name="Input 172" xfId="19541"/>
    <cellStyle name="Input 173" xfId="19542"/>
    <cellStyle name="Input 174" xfId="19543"/>
    <cellStyle name="Input 175" xfId="19544"/>
    <cellStyle name="Input 176" xfId="19545"/>
    <cellStyle name="Input 177" xfId="19546"/>
    <cellStyle name="Input 178" xfId="19547"/>
    <cellStyle name="Input 179" xfId="19548"/>
    <cellStyle name="Input 18" xfId="19549"/>
    <cellStyle name="Input 180" xfId="19550"/>
    <cellStyle name="Input 181" xfId="19551"/>
    <cellStyle name="Input 182" xfId="19552"/>
    <cellStyle name="Input 183" xfId="19553"/>
    <cellStyle name="Input 184" xfId="19554"/>
    <cellStyle name="Input 185" xfId="19555"/>
    <cellStyle name="Input 186" xfId="19556"/>
    <cellStyle name="Input 187" xfId="19557"/>
    <cellStyle name="Input 188" xfId="19558"/>
    <cellStyle name="Input 189" xfId="19559"/>
    <cellStyle name="Input 19" xfId="19560"/>
    <cellStyle name="Input 190" xfId="19561"/>
    <cellStyle name="Input 191" xfId="19562"/>
    <cellStyle name="Input 192" xfId="19563"/>
    <cellStyle name="Input 193" xfId="19564"/>
    <cellStyle name="Input 194" xfId="19565"/>
    <cellStyle name="Input 195" xfId="19566"/>
    <cellStyle name="Input 196" xfId="19567"/>
    <cellStyle name="Input 197" xfId="19568"/>
    <cellStyle name="Input 198" xfId="19569"/>
    <cellStyle name="Input 199" xfId="19570"/>
    <cellStyle name="Input 2" xfId="2317"/>
    <cellStyle name="Input 2 10" xfId="12129"/>
    <cellStyle name="Input 2 11" xfId="19571"/>
    <cellStyle name="Input 2 12" xfId="27400"/>
    <cellStyle name="Input 2 2" xfId="7985"/>
    <cellStyle name="Input 2 2 2" xfId="21609"/>
    <cellStyle name="Input 2 2_Note Calc" xfId="27401"/>
    <cellStyle name="Input 2 3" xfId="7987"/>
    <cellStyle name="Input 2 3 2" xfId="21610"/>
    <cellStyle name="Input 2 3_Note Calc" xfId="27402"/>
    <cellStyle name="Input 2 4" xfId="7988"/>
    <cellStyle name="Input 2 4 2" xfId="21611"/>
    <cellStyle name="Input 2 4_Note Calc" xfId="27403"/>
    <cellStyle name="Input 2 5" xfId="7989"/>
    <cellStyle name="Input 2 6" xfId="7990"/>
    <cellStyle name="Input 2 7" xfId="7991"/>
    <cellStyle name="Input 2 8" xfId="8355"/>
    <cellStyle name="Input 2 9" xfId="7566"/>
    <cellStyle name="Input 2_Note Calc" xfId="27399"/>
    <cellStyle name="Input 20" xfId="19572"/>
    <cellStyle name="Input 200" xfId="19573"/>
    <cellStyle name="Input 201" xfId="21845"/>
    <cellStyle name="Input 202" xfId="21713"/>
    <cellStyle name="Input 203" xfId="21956"/>
    <cellStyle name="Input 204" xfId="21912"/>
    <cellStyle name="Input 205" xfId="27404"/>
    <cellStyle name="Input 21" xfId="19574"/>
    <cellStyle name="Input 22" xfId="19575"/>
    <cellStyle name="Input 23" xfId="19576"/>
    <cellStyle name="Input 24" xfId="19577"/>
    <cellStyle name="Input 25" xfId="19578"/>
    <cellStyle name="Input 26" xfId="19579"/>
    <cellStyle name="Input 27" xfId="19580"/>
    <cellStyle name="Input 28" xfId="19581"/>
    <cellStyle name="Input 29" xfId="19582"/>
    <cellStyle name="Input 3" xfId="7992"/>
    <cellStyle name="Input 3 2" xfId="7993"/>
    <cellStyle name="Input 3 3" xfId="7994"/>
    <cellStyle name="Input 3 4" xfId="7995"/>
    <cellStyle name="Input 3 5" xfId="7996"/>
    <cellStyle name="Input 3 6" xfId="7997"/>
    <cellStyle name="Input 3 7" xfId="7998"/>
    <cellStyle name="Input 3 8" xfId="19583"/>
    <cellStyle name="Input 3 9" xfId="27405"/>
    <cellStyle name="Input 3_Forecast" xfId="22519"/>
    <cellStyle name="Input 30" xfId="19584"/>
    <cellStyle name="Input 31" xfId="19585"/>
    <cellStyle name="Input 32" xfId="19586"/>
    <cellStyle name="Input 33" xfId="19587"/>
    <cellStyle name="Input 34" xfId="19588"/>
    <cellStyle name="Input 35" xfId="19589"/>
    <cellStyle name="Input 36" xfId="19590"/>
    <cellStyle name="Input 37" xfId="19591"/>
    <cellStyle name="Input 38" xfId="19592"/>
    <cellStyle name="Input 39" xfId="19593"/>
    <cellStyle name="Input 4" xfId="7999"/>
    <cellStyle name="Input 4 2" xfId="19594"/>
    <cellStyle name="Input 4_Note Calc" xfId="27406"/>
    <cellStyle name="Input 40" xfId="19595"/>
    <cellStyle name="Input 41" xfId="19596"/>
    <cellStyle name="Input 42" xfId="19597"/>
    <cellStyle name="Input 43" xfId="19598"/>
    <cellStyle name="Input 44" xfId="19599"/>
    <cellStyle name="Input 45" xfId="19600"/>
    <cellStyle name="Input 46" xfId="19601"/>
    <cellStyle name="Input 47" xfId="19602"/>
    <cellStyle name="Input 48" xfId="19603"/>
    <cellStyle name="Input 49" xfId="19604"/>
    <cellStyle name="Input 5" xfId="8000"/>
    <cellStyle name="Input 5 2" xfId="19605"/>
    <cellStyle name="Input 5_Note Calc" xfId="27407"/>
    <cellStyle name="Input 50" xfId="19606"/>
    <cellStyle name="Input 51" xfId="19607"/>
    <cellStyle name="Input 52" xfId="19608"/>
    <cellStyle name="Input 53" xfId="19609"/>
    <cellStyle name="Input 54" xfId="19610"/>
    <cellStyle name="Input 55" xfId="19611"/>
    <cellStyle name="Input 56" xfId="19612"/>
    <cellStyle name="Input 57" xfId="19613"/>
    <cellStyle name="Input 58" xfId="19614"/>
    <cellStyle name="Input 59" xfId="19615"/>
    <cellStyle name="Input 6" xfId="8001"/>
    <cellStyle name="Input 6 2" xfId="19616"/>
    <cellStyle name="Input 6_Note Calc" xfId="27408"/>
    <cellStyle name="Input 60" xfId="19617"/>
    <cellStyle name="Input 61" xfId="19618"/>
    <cellStyle name="Input 62" xfId="19619"/>
    <cellStyle name="Input 63" xfId="19620"/>
    <cellStyle name="Input 64" xfId="19621"/>
    <cellStyle name="Input 65" xfId="19622"/>
    <cellStyle name="Input 66" xfId="19623"/>
    <cellStyle name="Input 67" xfId="19624"/>
    <cellStyle name="Input 68" xfId="19625"/>
    <cellStyle name="Input 69" xfId="19626"/>
    <cellStyle name="Input 7" xfId="8002"/>
    <cellStyle name="Input 7 2" xfId="19627"/>
    <cellStyle name="Input 7_Note Calc" xfId="27409"/>
    <cellStyle name="Input 70" xfId="19628"/>
    <cellStyle name="Input 71" xfId="19629"/>
    <cellStyle name="Input 72" xfId="19630"/>
    <cellStyle name="Input 73" xfId="19631"/>
    <cellStyle name="Input 74" xfId="19632"/>
    <cellStyle name="Input 75" xfId="19633"/>
    <cellStyle name="Input 76" xfId="19634"/>
    <cellStyle name="Input 77" xfId="19635"/>
    <cellStyle name="Input 78" xfId="19636"/>
    <cellStyle name="Input 79" xfId="19637"/>
    <cellStyle name="Input 8" xfId="8003"/>
    <cellStyle name="Input 8 2" xfId="19638"/>
    <cellStyle name="Input 8_Note Calc" xfId="27410"/>
    <cellStyle name="Input 80" xfId="19639"/>
    <cellStyle name="Input 81" xfId="19640"/>
    <cellStyle name="Input 82" xfId="19641"/>
    <cellStyle name="Input 83" xfId="19642"/>
    <cellStyle name="Input 84" xfId="19643"/>
    <cellStyle name="Input 85" xfId="19644"/>
    <cellStyle name="Input 86" xfId="19645"/>
    <cellStyle name="Input 87" xfId="19646"/>
    <cellStyle name="Input 88" xfId="19647"/>
    <cellStyle name="Input 89" xfId="19648"/>
    <cellStyle name="Input 9" xfId="8004"/>
    <cellStyle name="Input 9 2" xfId="19649"/>
    <cellStyle name="Input 9_Note Calc" xfId="27411"/>
    <cellStyle name="Input 90" xfId="19650"/>
    <cellStyle name="Input 91" xfId="19651"/>
    <cellStyle name="Input 92" xfId="19652"/>
    <cellStyle name="Input 93" xfId="19653"/>
    <cellStyle name="Input 94" xfId="19654"/>
    <cellStyle name="Input 95" xfId="19655"/>
    <cellStyle name="Input 96" xfId="19656"/>
    <cellStyle name="Input 97" xfId="19657"/>
    <cellStyle name="Input 98" xfId="19658"/>
    <cellStyle name="Input 99" xfId="19659"/>
    <cellStyle name="Linked Cell" xfId="2318" builtinId="24" customBuiltin="1"/>
    <cellStyle name="Linked Cell 10" xfId="12228"/>
    <cellStyle name="Linked Cell 100" xfId="19660"/>
    <cellStyle name="Linked Cell 101" xfId="19661"/>
    <cellStyle name="Linked Cell 102" xfId="19662"/>
    <cellStyle name="Linked Cell 103" xfId="19663"/>
    <cellStyle name="Linked Cell 104" xfId="19664"/>
    <cellStyle name="Linked Cell 105" xfId="19665"/>
    <cellStyle name="Linked Cell 106" xfId="19666"/>
    <cellStyle name="Linked Cell 107" xfId="19667"/>
    <cellStyle name="Linked Cell 108" xfId="19668"/>
    <cellStyle name="Linked Cell 109" xfId="19669"/>
    <cellStyle name="Linked Cell 11" xfId="19670"/>
    <cellStyle name="Linked Cell 110" xfId="19671"/>
    <cellStyle name="Linked Cell 111" xfId="19672"/>
    <cellStyle name="Linked Cell 112" xfId="19673"/>
    <cellStyle name="Linked Cell 113" xfId="19674"/>
    <cellStyle name="Linked Cell 114" xfId="19675"/>
    <cellStyle name="Linked Cell 115" xfId="19676"/>
    <cellStyle name="Linked Cell 116" xfId="19677"/>
    <cellStyle name="Linked Cell 117" xfId="19678"/>
    <cellStyle name="Linked Cell 118" xfId="19679"/>
    <cellStyle name="Linked Cell 119" xfId="19680"/>
    <cellStyle name="Linked Cell 12" xfId="19681"/>
    <cellStyle name="Linked Cell 120" xfId="19682"/>
    <cellStyle name="Linked Cell 121" xfId="19683"/>
    <cellStyle name="Linked Cell 122" xfId="19684"/>
    <cellStyle name="Linked Cell 123" xfId="19685"/>
    <cellStyle name="Linked Cell 124" xfId="19686"/>
    <cellStyle name="Linked Cell 125" xfId="19687"/>
    <cellStyle name="Linked Cell 126" xfId="19688"/>
    <cellStyle name="Linked Cell 127" xfId="19689"/>
    <cellStyle name="Linked Cell 128" xfId="19690"/>
    <cellStyle name="Linked Cell 129" xfId="19691"/>
    <cellStyle name="Linked Cell 13" xfId="19692"/>
    <cellStyle name="Linked Cell 130" xfId="19693"/>
    <cellStyle name="Linked Cell 131" xfId="19694"/>
    <cellStyle name="Linked Cell 132" xfId="19695"/>
    <cellStyle name="Linked Cell 133" xfId="19696"/>
    <cellStyle name="Linked Cell 134" xfId="19697"/>
    <cellStyle name="Linked Cell 135" xfId="19698"/>
    <cellStyle name="Linked Cell 136" xfId="19699"/>
    <cellStyle name="Linked Cell 137" xfId="19700"/>
    <cellStyle name="Linked Cell 138" xfId="19701"/>
    <cellStyle name="Linked Cell 139" xfId="19702"/>
    <cellStyle name="Linked Cell 14" xfId="19703"/>
    <cellStyle name="Linked Cell 140" xfId="19704"/>
    <cellStyle name="Linked Cell 141" xfId="19705"/>
    <cellStyle name="Linked Cell 142" xfId="19706"/>
    <cellStyle name="Linked Cell 143" xfId="19707"/>
    <cellStyle name="Linked Cell 144" xfId="19708"/>
    <cellStyle name="Linked Cell 145" xfId="19709"/>
    <cellStyle name="Linked Cell 146" xfId="19710"/>
    <cellStyle name="Linked Cell 147" xfId="19711"/>
    <cellStyle name="Linked Cell 148" xfId="19712"/>
    <cellStyle name="Linked Cell 149" xfId="19713"/>
    <cellStyle name="Linked Cell 15" xfId="19714"/>
    <cellStyle name="Linked Cell 150" xfId="19715"/>
    <cellStyle name="Linked Cell 151" xfId="19716"/>
    <cellStyle name="Linked Cell 152" xfId="19717"/>
    <cellStyle name="Linked Cell 153" xfId="19718"/>
    <cellStyle name="Linked Cell 154" xfId="19719"/>
    <cellStyle name="Linked Cell 155" xfId="19720"/>
    <cellStyle name="Linked Cell 156" xfId="19721"/>
    <cellStyle name="Linked Cell 157" xfId="19722"/>
    <cellStyle name="Linked Cell 158" xfId="19723"/>
    <cellStyle name="Linked Cell 159" xfId="19724"/>
    <cellStyle name="Linked Cell 16" xfId="19725"/>
    <cellStyle name="Linked Cell 160" xfId="19726"/>
    <cellStyle name="Linked Cell 161" xfId="19727"/>
    <cellStyle name="Linked Cell 162" xfId="19728"/>
    <cellStyle name="Linked Cell 163" xfId="19729"/>
    <cellStyle name="Linked Cell 163 2" xfId="21612"/>
    <cellStyle name="Linked Cell 163 3" xfId="21613"/>
    <cellStyle name="Linked Cell 163_Note Calc" xfId="27412"/>
    <cellStyle name="Linked Cell 164" xfId="19730"/>
    <cellStyle name="Linked Cell 165" xfId="19731"/>
    <cellStyle name="Linked Cell 166" xfId="19732"/>
    <cellStyle name="Linked Cell 167" xfId="19733"/>
    <cellStyle name="Linked Cell 168" xfId="19734"/>
    <cellStyle name="Linked Cell 169" xfId="19735"/>
    <cellStyle name="Linked Cell 17" xfId="19736"/>
    <cellStyle name="Linked Cell 170" xfId="19737"/>
    <cellStyle name="Linked Cell 171" xfId="19738"/>
    <cellStyle name="Linked Cell 172" xfId="19739"/>
    <cellStyle name="Linked Cell 173" xfId="19740"/>
    <cellStyle name="Linked Cell 174" xfId="19741"/>
    <cellStyle name="Linked Cell 175" xfId="19742"/>
    <cellStyle name="Linked Cell 176" xfId="19743"/>
    <cellStyle name="Linked Cell 177" xfId="19744"/>
    <cellStyle name="Linked Cell 178" xfId="19745"/>
    <cellStyle name="Linked Cell 179" xfId="19746"/>
    <cellStyle name="Linked Cell 18" xfId="19747"/>
    <cellStyle name="Linked Cell 180" xfId="19748"/>
    <cellStyle name="Linked Cell 181" xfId="19749"/>
    <cellStyle name="Linked Cell 182" xfId="19750"/>
    <cellStyle name="Linked Cell 183" xfId="19751"/>
    <cellStyle name="Linked Cell 184" xfId="19752"/>
    <cellStyle name="Linked Cell 185" xfId="19753"/>
    <cellStyle name="Linked Cell 186" xfId="19754"/>
    <cellStyle name="Linked Cell 187" xfId="19755"/>
    <cellStyle name="Linked Cell 188" xfId="19756"/>
    <cellStyle name="Linked Cell 189" xfId="19757"/>
    <cellStyle name="Linked Cell 19" xfId="19758"/>
    <cellStyle name="Linked Cell 190" xfId="19759"/>
    <cellStyle name="Linked Cell 191" xfId="19760"/>
    <cellStyle name="Linked Cell 192" xfId="19761"/>
    <cellStyle name="Linked Cell 193" xfId="19762"/>
    <cellStyle name="Linked Cell 194" xfId="19763"/>
    <cellStyle name="Linked Cell 195" xfId="19764"/>
    <cellStyle name="Linked Cell 196" xfId="19765"/>
    <cellStyle name="Linked Cell 197" xfId="19766"/>
    <cellStyle name="Linked Cell 198" xfId="19767"/>
    <cellStyle name="Linked Cell 199" xfId="19768"/>
    <cellStyle name="Linked Cell 2" xfId="2319"/>
    <cellStyle name="Linked Cell 2 10" xfId="12130"/>
    <cellStyle name="Linked Cell 2 11" xfId="19769"/>
    <cellStyle name="Linked Cell 2 12" xfId="27414"/>
    <cellStyle name="Linked Cell 2 2" xfId="8005"/>
    <cellStyle name="Linked Cell 2 2 2" xfId="21614"/>
    <cellStyle name="Linked Cell 2 2_Note Calc" xfId="27415"/>
    <cellStyle name="Linked Cell 2 3" xfId="8007"/>
    <cellStyle name="Linked Cell 2 3 2" xfId="21615"/>
    <cellStyle name="Linked Cell 2 3_Note Calc" xfId="27416"/>
    <cellStyle name="Linked Cell 2 4" xfId="8008"/>
    <cellStyle name="Linked Cell 2 4 2" xfId="21616"/>
    <cellStyle name="Linked Cell 2 4_Note Calc" xfId="27417"/>
    <cellStyle name="Linked Cell 2 5" xfId="8009"/>
    <cellStyle name="Linked Cell 2 6" xfId="8010"/>
    <cellStyle name="Linked Cell 2 7" xfId="8011"/>
    <cellStyle name="Linked Cell 2 8" xfId="8363"/>
    <cellStyle name="Linked Cell 2 9" xfId="8497"/>
    <cellStyle name="Linked Cell 2_Note Calc" xfId="27413"/>
    <cellStyle name="Linked Cell 20" xfId="19770"/>
    <cellStyle name="Linked Cell 200" xfId="19771"/>
    <cellStyle name="Linked Cell 201" xfId="21846"/>
    <cellStyle name="Linked Cell 202" xfId="21716"/>
    <cellStyle name="Linked Cell 203" xfId="21959"/>
    <cellStyle name="Linked Cell 204" xfId="21909"/>
    <cellStyle name="Linked Cell 205" xfId="27418"/>
    <cellStyle name="Linked Cell 21" xfId="19772"/>
    <cellStyle name="Linked Cell 22" xfId="19773"/>
    <cellStyle name="Linked Cell 23" xfId="19774"/>
    <cellStyle name="Linked Cell 24" xfId="19775"/>
    <cellStyle name="Linked Cell 25" xfId="19776"/>
    <cellStyle name="Linked Cell 26" xfId="19777"/>
    <cellStyle name="Linked Cell 27" xfId="19778"/>
    <cellStyle name="Linked Cell 28" xfId="19779"/>
    <cellStyle name="Linked Cell 29" xfId="19780"/>
    <cellStyle name="Linked Cell 3" xfId="8012"/>
    <cellStyle name="Linked Cell 3 2" xfId="8013"/>
    <cellStyle name="Linked Cell 3 3" xfId="8014"/>
    <cellStyle name="Linked Cell 3 4" xfId="8015"/>
    <cellStyle name="Linked Cell 3 5" xfId="8016"/>
    <cellStyle name="Linked Cell 3 6" xfId="8017"/>
    <cellStyle name="Linked Cell 3 7" xfId="8018"/>
    <cellStyle name="Linked Cell 3 8" xfId="19781"/>
    <cellStyle name="Linked Cell 3 9" xfId="27419"/>
    <cellStyle name="Linked Cell 3_Forecast" xfId="22520"/>
    <cellStyle name="Linked Cell 30" xfId="19782"/>
    <cellStyle name="Linked Cell 31" xfId="19783"/>
    <cellStyle name="Linked Cell 32" xfId="19784"/>
    <cellStyle name="Linked Cell 33" xfId="19785"/>
    <cellStyle name="Linked Cell 34" xfId="19786"/>
    <cellStyle name="Linked Cell 35" xfId="19787"/>
    <cellStyle name="Linked Cell 36" xfId="19788"/>
    <cellStyle name="Linked Cell 37" xfId="19789"/>
    <cellStyle name="Linked Cell 38" xfId="19790"/>
    <cellStyle name="Linked Cell 39" xfId="19791"/>
    <cellStyle name="Linked Cell 4" xfId="8019"/>
    <cellStyle name="Linked Cell 4 2" xfId="19792"/>
    <cellStyle name="Linked Cell 4_Note Calc" xfId="27420"/>
    <cellStyle name="Linked Cell 40" xfId="19793"/>
    <cellStyle name="Linked Cell 41" xfId="19794"/>
    <cellStyle name="Linked Cell 42" xfId="19795"/>
    <cellStyle name="Linked Cell 43" xfId="19796"/>
    <cellStyle name="Linked Cell 44" xfId="19797"/>
    <cellStyle name="Linked Cell 45" xfId="19798"/>
    <cellStyle name="Linked Cell 46" xfId="19799"/>
    <cellStyle name="Linked Cell 47" xfId="19800"/>
    <cellStyle name="Linked Cell 48" xfId="19801"/>
    <cellStyle name="Linked Cell 49" xfId="19802"/>
    <cellStyle name="Linked Cell 5" xfId="8020"/>
    <cellStyle name="Linked Cell 5 2" xfId="19803"/>
    <cellStyle name="Linked Cell 5_Note Calc" xfId="27421"/>
    <cellStyle name="Linked Cell 50" xfId="19804"/>
    <cellStyle name="Linked Cell 51" xfId="19805"/>
    <cellStyle name="Linked Cell 52" xfId="19806"/>
    <cellStyle name="Linked Cell 53" xfId="19807"/>
    <cellStyle name="Linked Cell 54" xfId="19808"/>
    <cellStyle name="Linked Cell 55" xfId="19809"/>
    <cellStyle name="Linked Cell 56" xfId="19810"/>
    <cellStyle name="Linked Cell 57" xfId="19811"/>
    <cellStyle name="Linked Cell 58" xfId="19812"/>
    <cellStyle name="Linked Cell 59" xfId="19813"/>
    <cellStyle name="Linked Cell 6" xfId="8021"/>
    <cellStyle name="Linked Cell 6 2" xfId="19814"/>
    <cellStyle name="Linked Cell 6_Note Calc" xfId="27422"/>
    <cellStyle name="Linked Cell 60" xfId="19815"/>
    <cellStyle name="Linked Cell 61" xfId="19816"/>
    <cellStyle name="Linked Cell 62" xfId="19817"/>
    <cellStyle name="Linked Cell 63" xfId="19818"/>
    <cellStyle name="Linked Cell 64" xfId="19819"/>
    <cellStyle name="Linked Cell 65" xfId="19820"/>
    <cellStyle name="Linked Cell 66" xfId="19821"/>
    <cellStyle name="Linked Cell 67" xfId="19822"/>
    <cellStyle name="Linked Cell 68" xfId="19823"/>
    <cellStyle name="Linked Cell 69" xfId="19824"/>
    <cellStyle name="Linked Cell 7" xfId="8022"/>
    <cellStyle name="Linked Cell 7 2" xfId="19825"/>
    <cellStyle name="Linked Cell 7_Note Calc" xfId="27423"/>
    <cellStyle name="Linked Cell 70" xfId="19826"/>
    <cellStyle name="Linked Cell 71" xfId="19827"/>
    <cellStyle name="Linked Cell 72" xfId="19828"/>
    <cellStyle name="Linked Cell 73" xfId="19829"/>
    <cellStyle name="Linked Cell 74" xfId="19830"/>
    <cellStyle name="Linked Cell 75" xfId="19831"/>
    <cellStyle name="Linked Cell 76" xfId="19832"/>
    <cellStyle name="Linked Cell 77" xfId="19833"/>
    <cellStyle name="Linked Cell 78" xfId="19834"/>
    <cellStyle name="Linked Cell 79" xfId="19835"/>
    <cellStyle name="Linked Cell 8" xfId="8023"/>
    <cellStyle name="Linked Cell 8 2" xfId="19836"/>
    <cellStyle name="Linked Cell 8_Note Calc" xfId="27424"/>
    <cellStyle name="Linked Cell 80" xfId="19837"/>
    <cellStyle name="Linked Cell 81" xfId="19838"/>
    <cellStyle name="Linked Cell 82" xfId="19839"/>
    <cellStyle name="Linked Cell 83" xfId="19840"/>
    <cellStyle name="Linked Cell 84" xfId="19841"/>
    <cellStyle name="Linked Cell 85" xfId="19842"/>
    <cellStyle name="Linked Cell 86" xfId="19843"/>
    <cellStyle name="Linked Cell 87" xfId="19844"/>
    <cellStyle name="Linked Cell 88" xfId="19845"/>
    <cellStyle name="Linked Cell 89" xfId="19846"/>
    <cellStyle name="Linked Cell 9" xfId="8024"/>
    <cellStyle name="Linked Cell 9 2" xfId="19847"/>
    <cellStyle name="Linked Cell 9_Note Calc" xfId="27425"/>
    <cellStyle name="Linked Cell 90" xfId="19848"/>
    <cellStyle name="Linked Cell 91" xfId="19849"/>
    <cellStyle name="Linked Cell 92" xfId="19850"/>
    <cellStyle name="Linked Cell 93" xfId="19851"/>
    <cellStyle name="Linked Cell 94" xfId="19852"/>
    <cellStyle name="Linked Cell 95" xfId="19853"/>
    <cellStyle name="Linked Cell 96" xfId="19854"/>
    <cellStyle name="Linked Cell 97" xfId="19855"/>
    <cellStyle name="Linked Cell 98" xfId="19856"/>
    <cellStyle name="Linked Cell 99" xfId="19857"/>
    <cellStyle name="Neutral" xfId="2320" builtinId="28" customBuiltin="1"/>
    <cellStyle name="Neutral 10" xfId="12224"/>
    <cellStyle name="Neutral 100" xfId="19858"/>
    <cellStyle name="Neutral 101" xfId="19859"/>
    <cellStyle name="Neutral 102" xfId="19860"/>
    <cellStyle name="Neutral 103" xfId="19861"/>
    <cellStyle name="Neutral 104" xfId="19862"/>
    <cellStyle name="Neutral 105" xfId="19863"/>
    <cellStyle name="Neutral 106" xfId="19864"/>
    <cellStyle name="Neutral 107" xfId="19865"/>
    <cellStyle name="Neutral 108" xfId="19866"/>
    <cellStyle name="Neutral 109" xfId="19867"/>
    <cellStyle name="Neutral 11" xfId="19868"/>
    <cellStyle name="Neutral 110" xfId="19869"/>
    <cellStyle name="Neutral 111" xfId="19870"/>
    <cellStyle name="Neutral 112" xfId="19871"/>
    <cellStyle name="Neutral 113" xfId="19872"/>
    <cellStyle name="Neutral 114" xfId="19873"/>
    <cellStyle name="Neutral 115" xfId="19874"/>
    <cellStyle name="Neutral 116" xfId="19875"/>
    <cellStyle name="Neutral 117" xfId="19876"/>
    <cellStyle name="Neutral 118" xfId="19877"/>
    <cellStyle name="Neutral 119" xfId="19878"/>
    <cellStyle name="Neutral 12" xfId="19879"/>
    <cellStyle name="Neutral 120" xfId="19880"/>
    <cellStyle name="Neutral 121" xfId="19881"/>
    <cellStyle name="Neutral 122" xfId="19882"/>
    <cellStyle name="Neutral 123" xfId="19883"/>
    <cellStyle name="Neutral 124" xfId="19884"/>
    <cellStyle name="Neutral 125" xfId="19885"/>
    <cellStyle name="Neutral 126" xfId="19886"/>
    <cellStyle name="Neutral 127" xfId="19887"/>
    <cellStyle name="Neutral 128" xfId="19888"/>
    <cellStyle name="Neutral 129" xfId="19889"/>
    <cellStyle name="Neutral 13" xfId="19890"/>
    <cellStyle name="Neutral 130" xfId="19891"/>
    <cellStyle name="Neutral 131" xfId="19892"/>
    <cellStyle name="Neutral 132" xfId="19893"/>
    <cellStyle name="Neutral 133" xfId="19894"/>
    <cellStyle name="Neutral 134" xfId="19895"/>
    <cellStyle name="Neutral 135" xfId="19896"/>
    <cellStyle name="Neutral 136" xfId="19897"/>
    <cellStyle name="Neutral 137" xfId="19898"/>
    <cellStyle name="Neutral 138" xfId="19899"/>
    <cellStyle name="Neutral 139" xfId="19900"/>
    <cellStyle name="Neutral 14" xfId="19901"/>
    <cellStyle name="Neutral 140" xfId="19902"/>
    <cellStyle name="Neutral 141" xfId="19903"/>
    <cellStyle name="Neutral 142" xfId="19904"/>
    <cellStyle name="Neutral 143" xfId="19905"/>
    <cellStyle name="Neutral 144" xfId="19906"/>
    <cellStyle name="Neutral 145" xfId="19907"/>
    <cellStyle name="Neutral 146" xfId="19908"/>
    <cellStyle name="Neutral 147" xfId="19909"/>
    <cellStyle name="Neutral 148" xfId="19910"/>
    <cellStyle name="Neutral 149" xfId="19911"/>
    <cellStyle name="Neutral 15" xfId="19912"/>
    <cellStyle name="Neutral 150" xfId="19913"/>
    <cellStyle name="Neutral 151" xfId="19914"/>
    <cellStyle name="Neutral 152" xfId="19915"/>
    <cellStyle name="Neutral 153" xfId="19916"/>
    <cellStyle name="Neutral 154" xfId="19917"/>
    <cellStyle name="Neutral 155" xfId="19918"/>
    <cellStyle name="Neutral 156" xfId="19919"/>
    <cellStyle name="Neutral 157" xfId="19920"/>
    <cellStyle name="Neutral 158" xfId="19921"/>
    <cellStyle name="Neutral 159" xfId="19922"/>
    <cellStyle name="Neutral 16" xfId="19923"/>
    <cellStyle name="Neutral 160" xfId="19924"/>
    <cellStyle name="Neutral 161" xfId="19925"/>
    <cellStyle name="Neutral 162" xfId="19926"/>
    <cellStyle name="Neutral 163" xfId="19927"/>
    <cellStyle name="Neutral 163 2" xfId="21617"/>
    <cellStyle name="Neutral 163 3" xfId="21618"/>
    <cellStyle name="Neutral 163_Note Calc" xfId="27426"/>
    <cellStyle name="Neutral 164" xfId="19928"/>
    <cellStyle name="Neutral 165" xfId="19929"/>
    <cellStyle name="Neutral 166" xfId="19930"/>
    <cellStyle name="Neutral 167" xfId="19931"/>
    <cellStyle name="Neutral 168" xfId="19932"/>
    <cellStyle name="Neutral 169" xfId="19933"/>
    <cellStyle name="Neutral 17" xfId="19934"/>
    <cellStyle name="Neutral 170" xfId="19935"/>
    <cellStyle name="Neutral 171" xfId="19936"/>
    <cellStyle name="Neutral 172" xfId="19937"/>
    <cellStyle name="Neutral 173" xfId="19938"/>
    <cellStyle name="Neutral 174" xfId="19939"/>
    <cellStyle name="Neutral 175" xfId="19940"/>
    <cellStyle name="Neutral 176" xfId="19941"/>
    <cellStyle name="Neutral 177" xfId="19942"/>
    <cellStyle name="Neutral 178" xfId="19943"/>
    <cellStyle name="Neutral 179" xfId="19944"/>
    <cellStyle name="Neutral 18" xfId="19945"/>
    <cellStyle name="Neutral 180" xfId="19946"/>
    <cellStyle name="Neutral 181" xfId="19947"/>
    <cellStyle name="Neutral 182" xfId="19948"/>
    <cellStyle name="Neutral 183" xfId="19949"/>
    <cellStyle name="Neutral 184" xfId="19950"/>
    <cellStyle name="Neutral 185" xfId="19951"/>
    <cellStyle name="Neutral 186" xfId="19952"/>
    <cellStyle name="Neutral 187" xfId="19953"/>
    <cellStyle name="Neutral 188" xfId="19954"/>
    <cellStyle name="Neutral 189" xfId="19955"/>
    <cellStyle name="Neutral 19" xfId="19956"/>
    <cellStyle name="Neutral 190" xfId="19957"/>
    <cellStyle name="Neutral 191" xfId="19958"/>
    <cellStyle name="Neutral 192" xfId="19959"/>
    <cellStyle name="Neutral 193" xfId="19960"/>
    <cellStyle name="Neutral 194" xfId="19961"/>
    <cellStyle name="Neutral 195" xfId="19962"/>
    <cellStyle name="Neutral 196" xfId="19963"/>
    <cellStyle name="Neutral 197" xfId="19964"/>
    <cellStyle name="Neutral 198" xfId="19965"/>
    <cellStyle name="Neutral 199" xfId="19966"/>
    <cellStyle name="Neutral 2" xfId="2321"/>
    <cellStyle name="Neutral 2 10" xfId="12131"/>
    <cellStyle name="Neutral 2 11" xfId="19967"/>
    <cellStyle name="Neutral 2 12" xfId="27428"/>
    <cellStyle name="Neutral 2 2" xfId="8025"/>
    <cellStyle name="Neutral 2 2 2" xfId="21619"/>
    <cellStyle name="Neutral 2 2_Note Calc" xfId="27429"/>
    <cellStyle name="Neutral 2 3" xfId="8027"/>
    <cellStyle name="Neutral 2 3 2" xfId="21620"/>
    <cellStyle name="Neutral 2 3_Note Calc" xfId="27430"/>
    <cellStyle name="Neutral 2 4" xfId="8028"/>
    <cellStyle name="Neutral 2 4 2" xfId="21621"/>
    <cellStyle name="Neutral 2 4_Note Calc" xfId="27431"/>
    <cellStyle name="Neutral 2 5" xfId="8029"/>
    <cellStyle name="Neutral 2 6" xfId="8030"/>
    <cellStyle name="Neutral 2 7" xfId="8031"/>
    <cellStyle name="Neutral 2 8" xfId="8371"/>
    <cellStyle name="Neutral 2 9" xfId="8498"/>
    <cellStyle name="Neutral 2_Note Calc" xfId="27427"/>
    <cellStyle name="Neutral 20" xfId="19968"/>
    <cellStyle name="Neutral 200" xfId="19969"/>
    <cellStyle name="Neutral 201" xfId="21847"/>
    <cellStyle name="Neutral 202" xfId="21712"/>
    <cellStyle name="Neutral 203" xfId="21955"/>
    <cellStyle name="Neutral 204" xfId="21913"/>
    <cellStyle name="Neutral 205" xfId="27432"/>
    <cellStyle name="Neutral 21" xfId="19970"/>
    <cellStyle name="Neutral 22" xfId="19971"/>
    <cellStyle name="Neutral 23" xfId="19972"/>
    <cellStyle name="Neutral 24" xfId="19973"/>
    <cellStyle name="Neutral 25" xfId="19974"/>
    <cellStyle name="Neutral 26" xfId="19975"/>
    <cellStyle name="Neutral 27" xfId="19976"/>
    <cellStyle name="Neutral 28" xfId="19977"/>
    <cellStyle name="Neutral 29" xfId="19978"/>
    <cellStyle name="Neutral 3" xfId="8032"/>
    <cellStyle name="Neutral 3 2" xfId="8033"/>
    <cellStyle name="Neutral 3 3" xfId="8034"/>
    <cellStyle name="Neutral 3 4" xfId="8035"/>
    <cellStyle name="Neutral 3 5" xfId="8036"/>
    <cellStyle name="Neutral 3 6" xfId="8037"/>
    <cellStyle name="Neutral 3 7" xfId="8038"/>
    <cellStyle name="Neutral 3 8" xfId="19979"/>
    <cellStyle name="Neutral 3 9" xfId="27433"/>
    <cellStyle name="Neutral 3_Forecast" xfId="22521"/>
    <cellStyle name="Neutral 30" xfId="19980"/>
    <cellStyle name="Neutral 31" xfId="19981"/>
    <cellStyle name="Neutral 32" xfId="19982"/>
    <cellStyle name="Neutral 33" xfId="19983"/>
    <cellStyle name="Neutral 34" xfId="19984"/>
    <cellStyle name="Neutral 35" xfId="19985"/>
    <cellStyle name="Neutral 36" xfId="19986"/>
    <cellStyle name="Neutral 37" xfId="19987"/>
    <cellStyle name="Neutral 38" xfId="19988"/>
    <cellStyle name="Neutral 39" xfId="19989"/>
    <cellStyle name="Neutral 4" xfId="8039"/>
    <cellStyle name="Neutral 4 2" xfId="19990"/>
    <cellStyle name="Neutral 4_Note Calc" xfId="27434"/>
    <cellStyle name="Neutral 40" xfId="19991"/>
    <cellStyle name="Neutral 41" xfId="19992"/>
    <cellStyle name="Neutral 42" xfId="19993"/>
    <cellStyle name="Neutral 43" xfId="19994"/>
    <cellStyle name="Neutral 44" xfId="19995"/>
    <cellStyle name="Neutral 45" xfId="19996"/>
    <cellStyle name="Neutral 46" xfId="19997"/>
    <cellStyle name="Neutral 47" xfId="19998"/>
    <cellStyle name="Neutral 48" xfId="19999"/>
    <cellStyle name="Neutral 49" xfId="20000"/>
    <cellStyle name="Neutral 5" xfId="8040"/>
    <cellStyle name="Neutral 5 2" xfId="20001"/>
    <cellStyle name="Neutral 5_Note Calc" xfId="27435"/>
    <cellStyle name="Neutral 50" xfId="20002"/>
    <cellStyle name="Neutral 51" xfId="20003"/>
    <cellStyle name="Neutral 52" xfId="20004"/>
    <cellStyle name="Neutral 53" xfId="20005"/>
    <cellStyle name="Neutral 54" xfId="20006"/>
    <cellStyle name="Neutral 55" xfId="20007"/>
    <cellStyle name="Neutral 56" xfId="20008"/>
    <cellStyle name="Neutral 57" xfId="20009"/>
    <cellStyle name="Neutral 58" xfId="20010"/>
    <cellStyle name="Neutral 59" xfId="20011"/>
    <cellStyle name="Neutral 6" xfId="8041"/>
    <cellStyle name="Neutral 6 2" xfId="20012"/>
    <cellStyle name="Neutral 6_Note Calc" xfId="27436"/>
    <cellStyle name="Neutral 60" xfId="20013"/>
    <cellStyle name="Neutral 61" xfId="20014"/>
    <cellStyle name="Neutral 62" xfId="20015"/>
    <cellStyle name="Neutral 63" xfId="20016"/>
    <cellStyle name="Neutral 64" xfId="20017"/>
    <cellStyle name="Neutral 65" xfId="20018"/>
    <cellStyle name="Neutral 66" xfId="20019"/>
    <cellStyle name="Neutral 67" xfId="20020"/>
    <cellStyle name="Neutral 68" xfId="20021"/>
    <cellStyle name="Neutral 69" xfId="20022"/>
    <cellStyle name="Neutral 7" xfId="8042"/>
    <cellStyle name="Neutral 7 2" xfId="20023"/>
    <cellStyle name="Neutral 7_Note Calc" xfId="27437"/>
    <cellStyle name="Neutral 70" xfId="20024"/>
    <cellStyle name="Neutral 71" xfId="20025"/>
    <cellStyle name="Neutral 72" xfId="20026"/>
    <cellStyle name="Neutral 73" xfId="20027"/>
    <cellStyle name="Neutral 74" xfId="20028"/>
    <cellStyle name="Neutral 75" xfId="20029"/>
    <cellStyle name="Neutral 76" xfId="20030"/>
    <cellStyle name="Neutral 77" xfId="20031"/>
    <cellStyle name="Neutral 78" xfId="20032"/>
    <cellStyle name="Neutral 79" xfId="20033"/>
    <cellStyle name="Neutral 8" xfId="8043"/>
    <cellStyle name="Neutral 8 2" xfId="20034"/>
    <cellStyle name="Neutral 8_Note Calc" xfId="27438"/>
    <cellStyle name="Neutral 80" xfId="20035"/>
    <cellStyle name="Neutral 81" xfId="20036"/>
    <cellStyle name="Neutral 82" xfId="20037"/>
    <cellStyle name="Neutral 83" xfId="20038"/>
    <cellStyle name="Neutral 84" xfId="20039"/>
    <cellStyle name="Neutral 85" xfId="20040"/>
    <cellStyle name="Neutral 86" xfId="20041"/>
    <cellStyle name="Neutral 87" xfId="20042"/>
    <cellStyle name="Neutral 88" xfId="20043"/>
    <cellStyle name="Neutral 89" xfId="20044"/>
    <cellStyle name="Neutral 9" xfId="8044"/>
    <cellStyle name="Neutral 9 2" xfId="20045"/>
    <cellStyle name="Neutral 9_Note Calc" xfId="27439"/>
    <cellStyle name="Neutral 90" xfId="20046"/>
    <cellStyle name="Neutral 91" xfId="20047"/>
    <cellStyle name="Neutral 92" xfId="20048"/>
    <cellStyle name="Neutral 93" xfId="20049"/>
    <cellStyle name="Neutral 94" xfId="20050"/>
    <cellStyle name="Neutral 95" xfId="20051"/>
    <cellStyle name="Neutral 96" xfId="20052"/>
    <cellStyle name="Neutral 97" xfId="20053"/>
    <cellStyle name="Neutral 98" xfId="20054"/>
    <cellStyle name="Neutral 99" xfId="20055"/>
    <cellStyle name="Normal" xfId="0" builtinId="0"/>
    <cellStyle name="Normal 10" xfId="2322"/>
    <cellStyle name="Normal 10 10" xfId="2323"/>
    <cellStyle name="Normal 10 11" xfId="2324"/>
    <cellStyle name="Normal 10 12" xfId="2325"/>
    <cellStyle name="Normal 10 13" xfId="2326"/>
    <cellStyle name="Normal 10 14" xfId="2327"/>
    <cellStyle name="Normal 10 15" xfId="2328"/>
    <cellStyle name="Normal 10 16" xfId="2329"/>
    <cellStyle name="Normal 10 17" xfId="2330"/>
    <cellStyle name="Normal 10 18" xfId="2331"/>
    <cellStyle name="Normal 10 19" xfId="2332"/>
    <cellStyle name="Normal 10 2" xfId="2333"/>
    <cellStyle name="Normal 10 2 2" xfId="2334"/>
    <cellStyle name="Normal 10 2 2 2" xfId="2335"/>
    <cellStyle name="Normal 10 2 2 2 2" xfId="8584"/>
    <cellStyle name="Normal 10 2 2 2 2 2" xfId="9403"/>
    <cellStyle name="Normal 10 2 2 2 2 2 2" xfId="22522"/>
    <cellStyle name="Normal 10 2 2 2 2 2 2 2" xfId="22523"/>
    <cellStyle name="Normal 10 2 2 2 2 2 2_Forecast" xfId="22524"/>
    <cellStyle name="Normal 10 2 2 2 2 2 3" xfId="22525"/>
    <cellStyle name="Normal 10 2 2 2 2 2_Forecast" xfId="22526"/>
    <cellStyle name="Normal 10 2 2 2 2 3" xfId="22527"/>
    <cellStyle name="Normal 10 2 2 2 2 3 2" xfId="22528"/>
    <cellStyle name="Normal 10 2 2 2 2 3 2 2" xfId="22529"/>
    <cellStyle name="Normal 10 2 2 2 2 3 2_Forecast" xfId="22530"/>
    <cellStyle name="Normal 10 2 2 2 2 3 3" xfId="22531"/>
    <cellStyle name="Normal 10 2 2 2 2 3_Forecast" xfId="22532"/>
    <cellStyle name="Normal 10 2 2 2 2 4" xfId="22533"/>
    <cellStyle name="Normal 10 2 2 2 2 4 2" xfId="22534"/>
    <cellStyle name="Normal 10 2 2 2 2 4_Forecast" xfId="22535"/>
    <cellStyle name="Normal 10 2 2 2 2 5" xfId="22536"/>
    <cellStyle name="Normal 10 2 2 2 2 6" xfId="22537"/>
    <cellStyle name="Normal 10 2 2 2 2_Forecast" xfId="22538"/>
    <cellStyle name="Normal 10 2 2 2 3" xfId="8712"/>
    <cellStyle name="Normal 10 2 2 2 3 2" xfId="22539"/>
    <cellStyle name="Normal 10 2 2 2 3 2 2" xfId="22540"/>
    <cellStyle name="Normal 10 2 2 2 3 2_Forecast" xfId="22541"/>
    <cellStyle name="Normal 10 2 2 2 3 3" xfId="22542"/>
    <cellStyle name="Normal 10 2 2 2 3_Forecast" xfId="22543"/>
    <cellStyle name="Normal 10 2 2 2 4" xfId="12133"/>
    <cellStyle name="Normal 10 2 2 2 4 2" xfId="22544"/>
    <cellStyle name="Normal 10 2 2 2 4 2 2" xfId="22545"/>
    <cellStyle name="Normal 10 2 2 2 4 2_Forecast" xfId="22546"/>
    <cellStyle name="Normal 10 2 2 2 4 3" xfId="22547"/>
    <cellStyle name="Normal 10 2 2 2 4_Forecast" xfId="22548"/>
    <cellStyle name="Normal 10 2 2 2 5" xfId="22549"/>
    <cellStyle name="Normal 10 2 2 2 5 2" xfId="22550"/>
    <cellStyle name="Normal 10 2 2 2 5_Forecast" xfId="22551"/>
    <cellStyle name="Normal 10 2 2 2 6" xfId="22552"/>
    <cellStyle name="Normal 10 2 2 2 7" xfId="22553"/>
    <cellStyle name="Normal 10 2 2 2_Forecast" xfId="22554"/>
    <cellStyle name="Normal 10 2 2 3" xfId="2336"/>
    <cellStyle name="Normal 10 2 2 3 2" xfId="8585"/>
    <cellStyle name="Normal 10 2 2 3 2 2" xfId="9404"/>
    <cellStyle name="Normal 10 2 2 3 2 2 2" xfId="22555"/>
    <cellStyle name="Normal 10 2 2 3 2 2 2 2" xfId="22556"/>
    <cellStyle name="Normal 10 2 2 3 2 2 2_Forecast" xfId="22557"/>
    <cellStyle name="Normal 10 2 2 3 2 2 3" xfId="22558"/>
    <cellStyle name="Normal 10 2 2 3 2 2_Forecast" xfId="22559"/>
    <cellStyle name="Normal 10 2 2 3 2 3" xfId="22560"/>
    <cellStyle name="Normal 10 2 2 3 2 3 2" xfId="22561"/>
    <cellStyle name="Normal 10 2 2 3 2 3 2 2" xfId="22562"/>
    <cellStyle name="Normal 10 2 2 3 2 3 2_Forecast" xfId="22563"/>
    <cellStyle name="Normal 10 2 2 3 2 3 3" xfId="22564"/>
    <cellStyle name="Normal 10 2 2 3 2 3_Forecast" xfId="22565"/>
    <cellStyle name="Normal 10 2 2 3 2 4" xfId="22566"/>
    <cellStyle name="Normal 10 2 2 3 2 4 2" xfId="22567"/>
    <cellStyle name="Normal 10 2 2 3 2 4_Forecast" xfId="22568"/>
    <cellStyle name="Normal 10 2 2 3 2 5" xfId="22569"/>
    <cellStyle name="Normal 10 2 2 3 2 6" xfId="22570"/>
    <cellStyle name="Normal 10 2 2 3 2_Forecast" xfId="22571"/>
    <cellStyle name="Normal 10 2 2 3 3" xfId="8713"/>
    <cellStyle name="Normal 10 2 2 3 3 2" xfId="22572"/>
    <cellStyle name="Normal 10 2 2 3 3 2 2" xfId="22573"/>
    <cellStyle name="Normal 10 2 2 3 3 2_Forecast" xfId="22574"/>
    <cellStyle name="Normal 10 2 2 3 3 3" xfId="22575"/>
    <cellStyle name="Normal 10 2 2 3 3_Forecast" xfId="22576"/>
    <cellStyle name="Normal 10 2 2 3 4" xfId="12134"/>
    <cellStyle name="Normal 10 2 2 3 4 2" xfId="22577"/>
    <cellStyle name="Normal 10 2 2 3 4 2 2" xfId="22578"/>
    <cellStyle name="Normal 10 2 2 3 4 2_Forecast" xfId="22579"/>
    <cellStyle name="Normal 10 2 2 3 4 3" xfId="22580"/>
    <cellStyle name="Normal 10 2 2 3 4_Forecast" xfId="22581"/>
    <cellStyle name="Normal 10 2 2 3 5" xfId="22582"/>
    <cellStyle name="Normal 10 2 2 3 5 2" xfId="22583"/>
    <cellStyle name="Normal 10 2 2 3 5_Forecast" xfId="22584"/>
    <cellStyle name="Normal 10 2 2 3 6" xfId="22585"/>
    <cellStyle name="Normal 10 2 2 3 7" xfId="22586"/>
    <cellStyle name="Normal 10 2 2 3_Forecast" xfId="22587"/>
    <cellStyle name="Normal 10 2 2 4" xfId="2337"/>
    <cellStyle name="Normal 10 2 2 4 2" xfId="8586"/>
    <cellStyle name="Normal 10 2 2 4 2 2" xfId="9405"/>
    <cellStyle name="Normal 10 2 2 4 2 2 2" xfId="22588"/>
    <cellStyle name="Normal 10 2 2 4 2 2 2 2" xfId="22589"/>
    <cellStyle name="Normal 10 2 2 4 2 2 2_Forecast" xfId="22590"/>
    <cellStyle name="Normal 10 2 2 4 2 2 3" xfId="22591"/>
    <cellStyle name="Normal 10 2 2 4 2 2_Forecast" xfId="22592"/>
    <cellStyle name="Normal 10 2 2 4 2 3" xfId="22593"/>
    <cellStyle name="Normal 10 2 2 4 2 3 2" xfId="22594"/>
    <cellStyle name="Normal 10 2 2 4 2 3 2 2" xfId="22595"/>
    <cellStyle name="Normal 10 2 2 4 2 3 2_Forecast" xfId="22596"/>
    <cellStyle name="Normal 10 2 2 4 2 3 3" xfId="22597"/>
    <cellStyle name="Normal 10 2 2 4 2 3_Forecast" xfId="22598"/>
    <cellStyle name="Normal 10 2 2 4 2 4" xfId="22599"/>
    <cellStyle name="Normal 10 2 2 4 2 4 2" xfId="22600"/>
    <cellStyle name="Normal 10 2 2 4 2 4_Forecast" xfId="22601"/>
    <cellStyle name="Normal 10 2 2 4 2 5" xfId="22602"/>
    <cellStyle name="Normal 10 2 2 4 2 6" xfId="22603"/>
    <cellStyle name="Normal 10 2 2 4 2_Forecast" xfId="22604"/>
    <cellStyle name="Normal 10 2 2 4 3" xfId="8714"/>
    <cellStyle name="Normal 10 2 2 4 3 2" xfId="22605"/>
    <cellStyle name="Normal 10 2 2 4 3 2 2" xfId="22606"/>
    <cellStyle name="Normal 10 2 2 4 3 2_Forecast" xfId="22607"/>
    <cellStyle name="Normal 10 2 2 4 3 3" xfId="22608"/>
    <cellStyle name="Normal 10 2 2 4 3_Forecast" xfId="22609"/>
    <cellStyle name="Normal 10 2 2 4 4" xfId="12135"/>
    <cellStyle name="Normal 10 2 2 4 4 2" xfId="22610"/>
    <cellStyle name="Normal 10 2 2 4 4 2 2" xfId="22611"/>
    <cellStyle name="Normal 10 2 2 4 4 2_Forecast" xfId="22612"/>
    <cellStyle name="Normal 10 2 2 4 4 3" xfId="22613"/>
    <cellStyle name="Normal 10 2 2 4 4_Forecast" xfId="22614"/>
    <cellStyle name="Normal 10 2 2 4 5" xfId="22615"/>
    <cellStyle name="Normal 10 2 2 4 5 2" xfId="22616"/>
    <cellStyle name="Normal 10 2 2 4 5_Forecast" xfId="22617"/>
    <cellStyle name="Normal 10 2 2 4 6" xfId="22618"/>
    <cellStyle name="Normal 10 2 2 4 7" xfId="22619"/>
    <cellStyle name="Normal 10 2 2 4_Forecast" xfId="22620"/>
    <cellStyle name="Normal 10 2 2 5" xfId="22621"/>
    <cellStyle name="Normal 10 2 2 6" xfId="22622"/>
    <cellStyle name="Normal 10 2 2 6 2" xfId="22623"/>
    <cellStyle name="Normal 10 2 2 6_Forecast" xfId="22624"/>
    <cellStyle name="Normal 10 2 2 7" xfId="22625"/>
    <cellStyle name="Normal 10 2 2_Forecast" xfId="22626"/>
    <cellStyle name="Normal 10 2 3" xfId="2338"/>
    <cellStyle name="Normal 10 2 4" xfId="2339"/>
    <cellStyle name="Normal 10 2 5" xfId="8583"/>
    <cellStyle name="Normal 10 2 5 2" xfId="9402"/>
    <cellStyle name="Normal 10 2 5 2 2" xfId="22627"/>
    <cellStyle name="Normal 10 2 5 2 2 2" xfId="22628"/>
    <cellStyle name="Normal 10 2 5 2 2_Forecast" xfId="22629"/>
    <cellStyle name="Normal 10 2 5 2 3" xfId="22630"/>
    <cellStyle name="Normal 10 2 5 2_Forecast" xfId="22631"/>
    <cellStyle name="Normal 10 2 5 3" xfId="22632"/>
    <cellStyle name="Normal 10 2 5 3 2" xfId="22633"/>
    <cellStyle name="Normal 10 2 5 3 2 2" xfId="22634"/>
    <cellStyle name="Normal 10 2 5 3 2_Forecast" xfId="22635"/>
    <cellStyle name="Normal 10 2 5 3 3" xfId="22636"/>
    <cellStyle name="Normal 10 2 5 3_Forecast" xfId="22637"/>
    <cellStyle name="Normal 10 2 5 4" xfId="22638"/>
    <cellStyle name="Normal 10 2 5 4 2" xfId="22639"/>
    <cellStyle name="Normal 10 2 5 4_Forecast" xfId="22640"/>
    <cellStyle name="Normal 10 2 5 5" xfId="22641"/>
    <cellStyle name="Normal 10 2 5 6" xfId="22642"/>
    <cellStyle name="Normal 10 2 5_Forecast" xfId="22643"/>
    <cellStyle name="Normal 10 2 6" xfId="8711"/>
    <cellStyle name="Normal 10 2 6 2" xfId="22644"/>
    <cellStyle name="Normal 10 2 6 2 2" xfId="22645"/>
    <cellStyle name="Normal 10 2 6 2_Forecast" xfId="22646"/>
    <cellStyle name="Normal 10 2 6 3" xfId="22647"/>
    <cellStyle name="Normal 10 2 6_Forecast" xfId="22648"/>
    <cellStyle name="Normal 10 2 7" xfId="12132"/>
    <cellStyle name="Normal 10 2 7 2" xfId="22649"/>
    <cellStyle name="Normal 10 2 7 2 2" xfId="22650"/>
    <cellStyle name="Normal 10 2 7 2_Forecast" xfId="22651"/>
    <cellStyle name="Normal 10 2 7 3" xfId="22652"/>
    <cellStyle name="Normal 10 2 7_Forecast" xfId="22653"/>
    <cellStyle name="Normal 10 2 8" xfId="21622"/>
    <cellStyle name="Normal 10 2 8 2" xfId="22654"/>
    <cellStyle name="Normal 10 2 8 2 2" xfId="22655"/>
    <cellStyle name="Normal 10 2 8 2_Forecast" xfId="22656"/>
    <cellStyle name="Normal 10 2 8 3" xfId="22657"/>
    <cellStyle name="Normal 10 2 8_Forecast" xfId="22658"/>
    <cellStyle name="Normal 10 2 9" xfId="22659"/>
    <cellStyle name="Normal 10 2_Note Calc" xfId="27440"/>
    <cellStyle name="Normal 10 20" xfId="2340"/>
    <cellStyle name="Normal 10 21" xfId="2341"/>
    <cellStyle name="Normal 10 22" xfId="2342"/>
    <cellStyle name="Normal 10 23" xfId="2343"/>
    <cellStyle name="Normal 10 24" xfId="2344"/>
    <cellStyle name="Normal 10 25" xfId="2345"/>
    <cellStyle name="Normal 10 26" xfId="2346"/>
    <cellStyle name="Normal 10 27" xfId="2347"/>
    <cellStyle name="Normal 10 28" xfId="2348"/>
    <cellStyle name="Normal 10 29" xfId="2349"/>
    <cellStyle name="Normal 10 3" xfId="2350"/>
    <cellStyle name="Normal 10 3 2" xfId="21623"/>
    <cellStyle name="Normal 10 3_Note Calc" xfId="27441"/>
    <cellStyle name="Normal 10 30" xfId="2351"/>
    <cellStyle name="Normal 10 31" xfId="20056"/>
    <cellStyle name="Normal 10 32" xfId="21935"/>
    <cellStyle name="Normal 10 33" xfId="21946"/>
    <cellStyle name="Normal 10 4" xfId="2352"/>
    <cellStyle name="Normal 10 4 2" xfId="21624"/>
    <cellStyle name="Normal 10 4_Note Calc" xfId="27442"/>
    <cellStyle name="Normal 10 5" xfId="2353"/>
    <cellStyle name="Normal 10 5 2" xfId="21625"/>
    <cellStyle name="Normal 10 5_Note Calc" xfId="27443"/>
    <cellStyle name="Normal 10 6" xfId="2354"/>
    <cellStyle name="Normal 10 7" xfId="2355"/>
    <cellStyle name="Normal 10 8" xfId="2356"/>
    <cellStyle name="Normal 10 9" xfId="2357"/>
    <cellStyle name="Normal 10_Forecast" xfId="22660"/>
    <cellStyle name="Normal 100" xfId="20057"/>
    <cellStyle name="Normal 100 2" xfId="21626"/>
    <cellStyle name="Normal 100 3" xfId="21627"/>
    <cellStyle name="Normal 100_Note Calc" xfId="27444"/>
    <cellStyle name="Normal 101" xfId="20058"/>
    <cellStyle name="Normal 102" xfId="20059"/>
    <cellStyle name="Normal 103" xfId="20060"/>
    <cellStyle name="Normal 104" xfId="20061"/>
    <cellStyle name="Normal 105" xfId="20062"/>
    <cellStyle name="Normal 106" xfId="20063"/>
    <cellStyle name="Normal 106 2" xfId="21770"/>
    <cellStyle name="Normal 106 2 2" xfId="21857"/>
    <cellStyle name="Normal 106 2_Note Calc" xfId="27446"/>
    <cellStyle name="Normal 106_Note Calc" xfId="27445"/>
    <cellStyle name="Normal 107" xfId="20064"/>
    <cellStyle name="Normal 108" xfId="20065"/>
    <cellStyle name="Normal 109" xfId="20066"/>
    <cellStyle name="Normal 11" xfId="2358"/>
    <cellStyle name="Normal 11 10" xfId="2359"/>
    <cellStyle name="Normal 11 11" xfId="2360"/>
    <cellStyle name="Normal 11 12" xfId="2361"/>
    <cellStyle name="Normal 11 13" xfId="2362"/>
    <cellStyle name="Normal 11 14" xfId="2363"/>
    <cellStyle name="Normal 11 15" xfId="2364"/>
    <cellStyle name="Normal 11 16" xfId="2365"/>
    <cellStyle name="Normal 11 17" xfId="2366"/>
    <cellStyle name="Normal 11 18" xfId="2367"/>
    <cellStyle name="Normal 11 19" xfId="2368"/>
    <cellStyle name="Normal 11 2" xfId="2369"/>
    <cellStyle name="Normal 11 2 2" xfId="2370"/>
    <cellStyle name="Normal 11 2 3" xfId="2371"/>
    <cellStyle name="Normal 11 2 4" xfId="2372"/>
    <cellStyle name="Normal 11 2 5" xfId="2373"/>
    <cellStyle name="Normal 11 2 6" xfId="21628"/>
    <cellStyle name="Normal 11 2_Note Calc" xfId="27447"/>
    <cellStyle name="Normal 11 20" xfId="2374"/>
    <cellStyle name="Normal 11 21" xfId="2375"/>
    <cellStyle name="Normal 11 22" xfId="2376"/>
    <cellStyle name="Normal 11 23" xfId="2377"/>
    <cellStyle name="Normal 11 24" xfId="2378"/>
    <cellStyle name="Normal 11 25" xfId="2379"/>
    <cellStyle name="Normal 11 26" xfId="2380"/>
    <cellStyle name="Normal 11 27" xfId="2381"/>
    <cellStyle name="Normal 11 28" xfId="2382"/>
    <cellStyle name="Normal 11 29" xfId="2383"/>
    <cellStyle name="Normal 11 3" xfId="2384"/>
    <cellStyle name="Normal 11 3 10" xfId="2385"/>
    <cellStyle name="Normal 11 3 11" xfId="2386"/>
    <cellStyle name="Normal 11 3 12" xfId="2387"/>
    <cellStyle name="Normal 11 3 13" xfId="2388"/>
    <cellStyle name="Normal 11 3 14" xfId="2389"/>
    <cellStyle name="Normal 11 3 15" xfId="2390"/>
    <cellStyle name="Normal 11 3 16" xfId="2391"/>
    <cellStyle name="Normal 11 3 17" xfId="2392"/>
    <cellStyle name="Normal 11 3 18" xfId="2393"/>
    <cellStyle name="Normal 11 3 19" xfId="2394"/>
    <cellStyle name="Normal 11 3 2" xfId="2395"/>
    <cellStyle name="Normal 11 3 2 10" xfId="2396"/>
    <cellStyle name="Normal 11 3 2 11" xfId="2397"/>
    <cellStyle name="Normal 11 3 2 12" xfId="2398"/>
    <cellStyle name="Normal 11 3 2 13" xfId="2399"/>
    <cellStyle name="Normal 11 3 2 14" xfId="2400"/>
    <cellStyle name="Normal 11 3 2 15" xfId="2401"/>
    <cellStyle name="Normal 11 3 2 16" xfId="2402"/>
    <cellStyle name="Normal 11 3 2 17" xfId="2403"/>
    <cellStyle name="Normal 11 3 2 18" xfId="2404"/>
    <cellStyle name="Normal 11 3 2 19" xfId="2405"/>
    <cellStyle name="Normal 11 3 2 2" xfId="2406"/>
    <cellStyle name="Normal 11 3 2 20" xfId="2407"/>
    <cellStyle name="Normal 11 3 2 21" xfId="2408"/>
    <cellStyle name="Normal 11 3 2 22" xfId="2409"/>
    <cellStyle name="Normal 11 3 2 3" xfId="2410"/>
    <cellStyle name="Normal 11 3 2 4" xfId="2411"/>
    <cellStyle name="Normal 11 3 2 5" xfId="2412"/>
    <cellStyle name="Normal 11 3 2 6" xfId="2413"/>
    <cellStyle name="Normal 11 3 2 7" xfId="2414"/>
    <cellStyle name="Normal 11 3 2 8" xfId="2415"/>
    <cellStyle name="Normal 11 3 2 9" xfId="2416"/>
    <cellStyle name="Normal 11 3 2_Note Calc" xfId="27449"/>
    <cellStyle name="Normal 11 3 20" xfId="2417"/>
    <cellStyle name="Normal 11 3 21" xfId="2418"/>
    <cellStyle name="Normal 11 3 22" xfId="2419"/>
    <cellStyle name="Normal 11 3 23" xfId="2420"/>
    <cellStyle name="Normal 11 3 24" xfId="2421"/>
    <cellStyle name="Normal 11 3 25" xfId="2422"/>
    <cellStyle name="Normal 11 3 3" xfId="2423"/>
    <cellStyle name="Normal 11 3 4" xfId="2424"/>
    <cellStyle name="Normal 11 3 5" xfId="2425"/>
    <cellStyle name="Normal 11 3 6" xfId="2426"/>
    <cellStyle name="Normal 11 3 7" xfId="2427"/>
    <cellStyle name="Normal 11 3 8" xfId="2428"/>
    <cellStyle name="Normal 11 3 9" xfId="2429"/>
    <cellStyle name="Normal 11 3_Note Calc" xfId="27448"/>
    <cellStyle name="Normal 11 30" xfId="2430"/>
    <cellStyle name="Normal 11 31" xfId="20067"/>
    <cellStyle name="Normal 11 4" xfId="2431"/>
    <cellStyle name="Normal 11 5" xfId="2432"/>
    <cellStyle name="Normal 11 6" xfId="2433"/>
    <cellStyle name="Normal 11 7" xfId="2434"/>
    <cellStyle name="Normal 11 8" xfId="2435"/>
    <cellStyle name="Normal 11 9" xfId="2436"/>
    <cellStyle name="Normal 11_Forecast" xfId="22661"/>
    <cellStyle name="Normal 110" xfId="20068"/>
    <cellStyle name="Normal 110 2" xfId="21771"/>
    <cellStyle name="Normal 110_Note Calc" xfId="27450"/>
    <cellStyle name="Normal 111" xfId="20069"/>
    <cellStyle name="Normal 111 2" xfId="21772"/>
    <cellStyle name="Normal 111_Note Calc" xfId="27451"/>
    <cellStyle name="Normal 112" xfId="21629"/>
    <cellStyle name="Normal 113" xfId="21630"/>
    <cellStyle name="Normal 114" xfId="21631"/>
    <cellStyle name="Normal 115" xfId="21632"/>
    <cellStyle name="Normal 116" xfId="21633"/>
    <cellStyle name="Normal 117" xfId="21634"/>
    <cellStyle name="Normal 118" xfId="21635"/>
    <cellStyle name="Normal 119" xfId="21636"/>
    <cellStyle name="Normal 12" xfId="2437"/>
    <cellStyle name="Normal 12 10" xfId="2438"/>
    <cellStyle name="Normal 12 11" xfId="2439"/>
    <cellStyle name="Normal 12 12" xfId="2440"/>
    <cellStyle name="Normal 12 13" xfId="2441"/>
    <cellStyle name="Normal 12 14" xfId="2442"/>
    <cellStyle name="Normal 12 15" xfId="2443"/>
    <cellStyle name="Normal 12 16" xfId="2444"/>
    <cellStyle name="Normal 12 17" xfId="2445"/>
    <cellStyle name="Normal 12 18" xfId="2446"/>
    <cellStyle name="Normal 12 19" xfId="2447"/>
    <cellStyle name="Normal 12 2" xfId="2448"/>
    <cellStyle name="Normal 12 2 2" xfId="2449"/>
    <cellStyle name="Normal 12 2 3" xfId="2450"/>
    <cellStyle name="Normal 12 2 4" xfId="2451"/>
    <cellStyle name="Normal 12 2 5" xfId="2452"/>
    <cellStyle name="Normal 12 2_Note Calc" xfId="27452"/>
    <cellStyle name="Normal 12 20" xfId="2453"/>
    <cellStyle name="Normal 12 21" xfId="2454"/>
    <cellStyle name="Normal 12 22" xfId="2455"/>
    <cellStyle name="Normal 12 23" xfId="2456"/>
    <cellStyle name="Normal 12 24" xfId="2457"/>
    <cellStyle name="Normal 12 25" xfId="2458"/>
    <cellStyle name="Normal 12 26" xfId="2459"/>
    <cellStyle name="Normal 12 27" xfId="2460"/>
    <cellStyle name="Normal 12 28" xfId="2461"/>
    <cellStyle name="Normal 12 29" xfId="2462"/>
    <cellStyle name="Normal 12 3" xfId="2463"/>
    <cellStyle name="Normal 12 3 10" xfId="2464"/>
    <cellStyle name="Normal 12 3 11" xfId="2465"/>
    <cellStyle name="Normal 12 3 12" xfId="2466"/>
    <cellStyle name="Normal 12 3 13" xfId="2467"/>
    <cellStyle name="Normal 12 3 14" xfId="2468"/>
    <cellStyle name="Normal 12 3 15" xfId="2469"/>
    <cellStyle name="Normal 12 3 16" xfId="2470"/>
    <cellStyle name="Normal 12 3 17" xfId="2471"/>
    <cellStyle name="Normal 12 3 18" xfId="2472"/>
    <cellStyle name="Normal 12 3 19" xfId="2473"/>
    <cellStyle name="Normal 12 3 2" xfId="2474"/>
    <cellStyle name="Normal 12 3 2 10" xfId="2475"/>
    <cellStyle name="Normal 12 3 2 11" xfId="2476"/>
    <cellStyle name="Normal 12 3 2 12" xfId="2477"/>
    <cellStyle name="Normal 12 3 2 13" xfId="2478"/>
    <cellStyle name="Normal 12 3 2 14" xfId="2479"/>
    <cellStyle name="Normal 12 3 2 15" xfId="2480"/>
    <cellStyle name="Normal 12 3 2 16" xfId="2481"/>
    <cellStyle name="Normal 12 3 2 17" xfId="2482"/>
    <cellStyle name="Normal 12 3 2 18" xfId="2483"/>
    <cellStyle name="Normal 12 3 2 19" xfId="2484"/>
    <cellStyle name="Normal 12 3 2 2" xfId="2485"/>
    <cellStyle name="Normal 12 3 2 20" xfId="2486"/>
    <cellStyle name="Normal 12 3 2 21" xfId="2487"/>
    <cellStyle name="Normal 12 3 2 22" xfId="2488"/>
    <cellStyle name="Normal 12 3 2 3" xfId="2489"/>
    <cellStyle name="Normal 12 3 2 4" xfId="2490"/>
    <cellStyle name="Normal 12 3 2 5" xfId="2491"/>
    <cellStyle name="Normal 12 3 2 6" xfId="2492"/>
    <cellStyle name="Normal 12 3 2 7" xfId="2493"/>
    <cellStyle name="Normal 12 3 2 8" xfId="2494"/>
    <cellStyle name="Normal 12 3 2 9" xfId="2495"/>
    <cellStyle name="Normal 12 3 2_Note Calc" xfId="27454"/>
    <cellStyle name="Normal 12 3 20" xfId="2496"/>
    <cellStyle name="Normal 12 3 21" xfId="2497"/>
    <cellStyle name="Normal 12 3 22" xfId="2498"/>
    <cellStyle name="Normal 12 3 23" xfId="2499"/>
    <cellStyle name="Normal 12 3 24" xfId="2500"/>
    <cellStyle name="Normal 12 3 25" xfId="2501"/>
    <cellStyle name="Normal 12 3 3" xfId="2502"/>
    <cellStyle name="Normal 12 3 4" xfId="2503"/>
    <cellStyle name="Normal 12 3 5" xfId="2504"/>
    <cellStyle name="Normal 12 3 6" xfId="2505"/>
    <cellStyle name="Normal 12 3 7" xfId="2506"/>
    <cellStyle name="Normal 12 3 8" xfId="2507"/>
    <cellStyle name="Normal 12 3 9" xfId="2508"/>
    <cellStyle name="Normal 12 3_Note Calc" xfId="27453"/>
    <cellStyle name="Normal 12 30" xfId="2509"/>
    <cellStyle name="Normal 12 31" xfId="8045"/>
    <cellStyle name="Normal 12 31 2" xfId="9104"/>
    <cellStyle name="Normal 12 31 2 2" xfId="11795"/>
    <cellStyle name="Normal 12 31 2 3" xfId="10482"/>
    <cellStyle name="Normal 12 31 2_Note Calc" xfId="27455"/>
    <cellStyle name="Normal 12 31 3" xfId="11107"/>
    <cellStyle name="Normal 12 31 4" xfId="9794"/>
    <cellStyle name="Normal 12 31_Forecast" xfId="22662"/>
    <cellStyle name="Normal 12 32" xfId="8380"/>
    <cellStyle name="Normal 12 32 2" xfId="9298"/>
    <cellStyle name="Normal 12 32 2 2" xfId="11989"/>
    <cellStyle name="Normal 12 32 2 3" xfId="10676"/>
    <cellStyle name="Normal 12 32 2_Note Calc" xfId="27456"/>
    <cellStyle name="Normal 12 32 3" xfId="11301"/>
    <cellStyle name="Normal 12 32 4" xfId="9988"/>
    <cellStyle name="Normal 12 32_Forecast" xfId="22663"/>
    <cellStyle name="Normal 12 33" xfId="8499"/>
    <cellStyle name="Normal 12 33 2" xfId="9366"/>
    <cellStyle name="Normal 12 33 2 2" xfId="12057"/>
    <cellStyle name="Normal 12 33 2 3" xfId="10744"/>
    <cellStyle name="Normal 12 33 2_Note Calc" xfId="27457"/>
    <cellStyle name="Normal 12 33 3" xfId="11369"/>
    <cellStyle name="Normal 12 33 4" xfId="10056"/>
    <cellStyle name="Normal 12 33_Forecast" xfId="22664"/>
    <cellStyle name="Normal 12 34" xfId="20070"/>
    <cellStyle name="Normal 12 4" xfId="2510"/>
    <cellStyle name="Normal 12 5" xfId="2511"/>
    <cellStyle name="Normal 12 6" xfId="2512"/>
    <cellStyle name="Normal 12 7" xfId="2513"/>
    <cellStyle name="Normal 12 8" xfId="2514"/>
    <cellStyle name="Normal 12 9" xfId="2515"/>
    <cellStyle name="Normal 12_Forecast" xfId="22665"/>
    <cellStyle name="Normal 120" xfId="21637"/>
    <cellStyle name="Normal 121" xfId="21638"/>
    <cellStyle name="Normal 122" xfId="21639"/>
    <cellStyle name="Normal 123" xfId="12263"/>
    <cellStyle name="Normal 124" xfId="12261"/>
    <cellStyle name="Normal 124 2" xfId="21856"/>
    <cellStyle name="Normal 124_Note Calc" xfId="27458"/>
    <cellStyle name="Normal 125" xfId="21848"/>
    <cellStyle name="Normal 126" xfId="21775"/>
    <cellStyle name="Normal 127" xfId="12262"/>
    <cellStyle name="Normal 128" xfId="21881"/>
    <cellStyle name="Normal 129" xfId="21943"/>
    <cellStyle name="Normal 13" xfId="2516"/>
    <cellStyle name="Normal 13 10" xfId="2517"/>
    <cellStyle name="Normal 13 11" xfId="2518"/>
    <cellStyle name="Normal 13 12" xfId="2519"/>
    <cellStyle name="Normal 13 13" xfId="2520"/>
    <cellStyle name="Normal 13 14" xfId="2521"/>
    <cellStyle name="Normal 13 15" xfId="2522"/>
    <cellStyle name="Normal 13 16" xfId="2523"/>
    <cellStyle name="Normal 13 17" xfId="2524"/>
    <cellStyle name="Normal 13 18" xfId="2525"/>
    <cellStyle name="Normal 13 19" xfId="2526"/>
    <cellStyle name="Normal 13 2" xfId="2527"/>
    <cellStyle name="Normal 13 2 2" xfId="2528"/>
    <cellStyle name="Normal 13 2 3" xfId="2529"/>
    <cellStyle name="Normal 13 2 4" xfId="2530"/>
    <cellStyle name="Normal 13 2 5" xfId="2531"/>
    <cellStyle name="Normal 13 2_Note Calc" xfId="27459"/>
    <cellStyle name="Normal 13 20" xfId="2532"/>
    <cellStyle name="Normal 13 21" xfId="2533"/>
    <cellStyle name="Normal 13 22" xfId="2534"/>
    <cellStyle name="Normal 13 23" xfId="2535"/>
    <cellStyle name="Normal 13 24" xfId="2536"/>
    <cellStyle name="Normal 13 25" xfId="2537"/>
    <cellStyle name="Normal 13 26" xfId="2538"/>
    <cellStyle name="Normal 13 27" xfId="2539"/>
    <cellStyle name="Normal 13 28" xfId="2540"/>
    <cellStyle name="Normal 13 29" xfId="2541"/>
    <cellStyle name="Normal 13 3" xfId="2542"/>
    <cellStyle name="Normal 13 3 10" xfId="2543"/>
    <cellStyle name="Normal 13 3 11" xfId="2544"/>
    <cellStyle name="Normal 13 3 12" xfId="2545"/>
    <cellStyle name="Normal 13 3 13" xfId="2546"/>
    <cellStyle name="Normal 13 3 14" xfId="2547"/>
    <cellStyle name="Normal 13 3 15" xfId="2548"/>
    <cellStyle name="Normal 13 3 16" xfId="2549"/>
    <cellStyle name="Normal 13 3 17" xfId="2550"/>
    <cellStyle name="Normal 13 3 18" xfId="2551"/>
    <cellStyle name="Normal 13 3 19" xfId="2552"/>
    <cellStyle name="Normal 13 3 2" xfId="2553"/>
    <cellStyle name="Normal 13 3 2 10" xfId="2554"/>
    <cellStyle name="Normal 13 3 2 10 2" xfId="8588"/>
    <cellStyle name="Normal 13 3 2 10 2 2" xfId="11407"/>
    <cellStyle name="Normal 13 3 2 10 2 3" xfId="10094"/>
    <cellStyle name="Normal 13 3 2 10 2_Note Calc" xfId="27461"/>
    <cellStyle name="Normal 13 3 2 10 3" xfId="8789"/>
    <cellStyle name="Normal 13 3 2 10 3 2" xfId="11481"/>
    <cellStyle name="Normal 13 3 2 10 3 3" xfId="10168"/>
    <cellStyle name="Normal 13 3 2 10 3_Note Calc" xfId="27462"/>
    <cellStyle name="Normal 13 3 2 10 4" xfId="10793"/>
    <cellStyle name="Normal 13 3 2 10 5" xfId="9480"/>
    <cellStyle name="Normal 13 3 2 10_Forecast" xfId="22666"/>
    <cellStyle name="Normal 13 3 2 11" xfId="2555"/>
    <cellStyle name="Normal 13 3 2 11 2" xfId="8589"/>
    <cellStyle name="Normal 13 3 2 11 2 2" xfId="11408"/>
    <cellStyle name="Normal 13 3 2 11 2 3" xfId="10095"/>
    <cellStyle name="Normal 13 3 2 11 2_Note Calc" xfId="27463"/>
    <cellStyle name="Normal 13 3 2 11 3" xfId="8790"/>
    <cellStyle name="Normal 13 3 2 11 3 2" xfId="11482"/>
    <cellStyle name="Normal 13 3 2 11 3 3" xfId="10169"/>
    <cellStyle name="Normal 13 3 2 11 3_Note Calc" xfId="27464"/>
    <cellStyle name="Normal 13 3 2 11 4" xfId="10794"/>
    <cellStyle name="Normal 13 3 2 11 5" xfId="9481"/>
    <cellStyle name="Normal 13 3 2 11_Forecast" xfId="22667"/>
    <cellStyle name="Normal 13 3 2 12" xfId="2556"/>
    <cellStyle name="Normal 13 3 2 12 2" xfId="8590"/>
    <cellStyle name="Normal 13 3 2 12 2 2" xfId="11409"/>
    <cellStyle name="Normal 13 3 2 12 2 3" xfId="10096"/>
    <cellStyle name="Normal 13 3 2 12 2_Note Calc" xfId="27465"/>
    <cellStyle name="Normal 13 3 2 12 3" xfId="8791"/>
    <cellStyle name="Normal 13 3 2 12 3 2" xfId="11483"/>
    <cellStyle name="Normal 13 3 2 12 3 3" xfId="10170"/>
    <cellStyle name="Normal 13 3 2 12 3_Note Calc" xfId="27466"/>
    <cellStyle name="Normal 13 3 2 12 4" xfId="10795"/>
    <cellStyle name="Normal 13 3 2 12 5" xfId="9482"/>
    <cellStyle name="Normal 13 3 2 12_Forecast" xfId="22668"/>
    <cellStyle name="Normal 13 3 2 13" xfId="2557"/>
    <cellStyle name="Normal 13 3 2 13 2" xfId="8591"/>
    <cellStyle name="Normal 13 3 2 13 2 2" xfId="11410"/>
    <cellStyle name="Normal 13 3 2 13 2 3" xfId="10097"/>
    <cellStyle name="Normal 13 3 2 13 2_Note Calc" xfId="27467"/>
    <cellStyle name="Normal 13 3 2 13 3" xfId="8792"/>
    <cellStyle name="Normal 13 3 2 13 3 2" xfId="11484"/>
    <cellStyle name="Normal 13 3 2 13 3 3" xfId="10171"/>
    <cellStyle name="Normal 13 3 2 13 3_Note Calc" xfId="27468"/>
    <cellStyle name="Normal 13 3 2 13 4" xfId="10796"/>
    <cellStyle name="Normal 13 3 2 13 5" xfId="9483"/>
    <cellStyle name="Normal 13 3 2 13_Forecast" xfId="22669"/>
    <cellStyle name="Normal 13 3 2 14" xfId="2558"/>
    <cellStyle name="Normal 13 3 2 14 2" xfId="8592"/>
    <cellStyle name="Normal 13 3 2 14 2 2" xfId="11411"/>
    <cellStyle name="Normal 13 3 2 14 2 3" xfId="10098"/>
    <cellStyle name="Normal 13 3 2 14 2_Note Calc" xfId="27469"/>
    <cellStyle name="Normal 13 3 2 14 3" xfId="8793"/>
    <cellStyle name="Normal 13 3 2 14 3 2" xfId="11485"/>
    <cellStyle name="Normal 13 3 2 14 3 3" xfId="10172"/>
    <cellStyle name="Normal 13 3 2 14 3_Note Calc" xfId="27470"/>
    <cellStyle name="Normal 13 3 2 14 4" xfId="10797"/>
    <cellStyle name="Normal 13 3 2 14 5" xfId="9484"/>
    <cellStyle name="Normal 13 3 2 14_Forecast" xfId="22670"/>
    <cellStyle name="Normal 13 3 2 15" xfId="2559"/>
    <cellStyle name="Normal 13 3 2 15 2" xfId="8593"/>
    <cellStyle name="Normal 13 3 2 15 2 2" xfId="11412"/>
    <cellStyle name="Normal 13 3 2 15 2 3" xfId="10099"/>
    <cellStyle name="Normal 13 3 2 15 2_Note Calc" xfId="27471"/>
    <cellStyle name="Normal 13 3 2 15 3" xfId="8794"/>
    <cellStyle name="Normal 13 3 2 15 3 2" xfId="11486"/>
    <cellStyle name="Normal 13 3 2 15 3 3" xfId="10173"/>
    <cellStyle name="Normal 13 3 2 15 3_Note Calc" xfId="27472"/>
    <cellStyle name="Normal 13 3 2 15 4" xfId="10798"/>
    <cellStyle name="Normal 13 3 2 15 5" xfId="9485"/>
    <cellStyle name="Normal 13 3 2 15_Forecast" xfId="22671"/>
    <cellStyle name="Normal 13 3 2 16" xfId="2560"/>
    <cellStyle name="Normal 13 3 2 16 2" xfId="8594"/>
    <cellStyle name="Normal 13 3 2 16 2 2" xfId="11413"/>
    <cellStyle name="Normal 13 3 2 16 2 3" xfId="10100"/>
    <cellStyle name="Normal 13 3 2 16 2_Note Calc" xfId="27473"/>
    <cellStyle name="Normal 13 3 2 16 3" xfId="8795"/>
    <cellStyle name="Normal 13 3 2 16 3 2" xfId="11487"/>
    <cellStyle name="Normal 13 3 2 16 3 3" xfId="10174"/>
    <cellStyle name="Normal 13 3 2 16 3_Note Calc" xfId="27474"/>
    <cellStyle name="Normal 13 3 2 16 4" xfId="10799"/>
    <cellStyle name="Normal 13 3 2 16 5" xfId="9486"/>
    <cellStyle name="Normal 13 3 2 16_Forecast" xfId="22672"/>
    <cellStyle name="Normal 13 3 2 17" xfId="2561"/>
    <cellStyle name="Normal 13 3 2 17 2" xfId="8595"/>
    <cellStyle name="Normal 13 3 2 17 2 2" xfId="11414"/>
    <cellStyle name="Normal 13 3 2 17 2 3" xfId="10101"/>
    <cellStyle name="Normal 13 3 2 17 2_Note Calc" xfId="27475"/>
    <cellStyle name="Normal 13 3 2 17 3" xfId="8796"/>
    <cellStyle name="Normal 13 3 2 17 3 2" xfId="11488"/>
    <cellStyle name="Normal 13 3 2 17 3 3" xfId="10175"/>
    <cellStyle name="Normal 13 3 2 17 3_Note Calc" xfId="27476"/>
    <cellStyle name="Normal 13 3 2 17 4" xfId="10800"/>
    <cellStyle name="Normal 13 3 2 17 5" xfId="9487"/>
    <cellStyle name="Normal 13 3 2 17_Forecast" xfId="22673"/>
    <cellStyle name="Normal 13 3 2 18" xfId="2562"/>
    <cellStyle name="Normal 13 3 2 18 2" xfId="8596"/>
    <cellStyle name="Normal 13 3 2 18 2 2" xfId="11415"/>
    <cellStyle name="Normal 13 3 2 18 2 3" xfId="10102"/>
    <cellStyle name="Normal 13 3 2 18 2_Note Calc" xfId="27477"/>
    <cellStyle name="Normal 13 3 2 18 3" xfId="8797"/>
    <cellStyle name="Normal 13 3 2 18 3 2" xfId="11489"/>
    <cellStyle name="Normal 13 3 2 18 3 3" xfId="10176"/>
    <cellStyle name="Normal 13 3 2 18 3_Note Calc" xfId="27478"/>
    <cellStyle name="Normal 13 3 2 18 4" xfId="10801"/>
    <cellStyle name="Normal 13 3 2 18 5" xfId="9488"/>
    <cellStyle name="Normal 13 3 2 18_Forecast" xfId="22674"/>
    <cellStyle name="Normal 13 3 2 19" xfId="2563"/>
    <cellStyle name="Normal 13 3 2 19 2" xfId="8597"/>
    <cellStyle name="Normal 13 3 2 19 2 2" xfId="11416"/>
    <cellStyle name="Normal 13 3 2 19 2 3" xfId="10103"/>
    <cellStyle name="Normal 13 3 2 19 2_Note Calc" xfId="27479"/>
    <cellStyle name="Normal 13 3 2 19 3" xfId="8798"/>
    <cellStyle name="Normal 13 3 2 19 3 2" xfId="11490"/>
    <cellStyle name="Normal 13 3 2 19 3 3" xfId="10177"/>
    <cellStyle name="Normal 13 3 2 19 3_Note Calc" xfId="27480"/>
    <cellStyle name="Normal 13 3 2 19 4" xfId="10802"/>
    <cellStyle name="Normal 13 3 2 19 5" xfId="9489"/>
    <cellStyle name="Normal 13 3 2 19_Forecast" xfId="22675"/>
    <cellStyle name="Normal 13 3 2 2" xfId="2564"/>
    <cellStyle name="Normal 13 3 2 2 2" xfId="8598"/>
    <cellStyle name="Normal 13 3 2 2 2 2" xfId="11417"/>
    <cellStyle name="Normal 13 3 2 2 2 3" xfId="10104"/>
    <cellStyle name="Normal 13 3 2 2 2_Note Calc" xfId="27481"/>
    <cellStyle name="Normal 13 3 2 2 3" xfId="8799"/>
    <cellStyle name="Normal 13 3 2 2 3 2" xfId="11491"/>
    <cellStyle name="Normal 13 3 2 2 3 3" xfId="10178"/>
    <cellStyle name="Normal 13 3 2 2 3_Note Calc" xfId="27482"/>
    <cellStyle name="Normal 13 3 2 2 4" xfId="10803"/>
    <cellStyle name="Normal 13 3 2 2 5" xfId="9490"/>
    <cellStyle name="Normal 13 3 2 2_Forecast" xfId="22676"/>
    <cellStyle name="Normal 13 3 2 20" xfId="2565"/>
    <cellStyle name="Normal 13 3 2 20 2" xfId="8599"/>
    <cellStyle name="Normal 13 3 2 20 2 2" xfId="11418"/>
    <cellStyle name="Normal 13 3 2 20 2 3" xfId="10105"/>
    <cellStyle name="Normal 13 3 2 20 2_Note Calc" xfId="27483"/>
    <cellStyle name="Normal 13 3 2 20 3" xfId="8800"/>
    <cellStyle name="Normal 13 3 2 20 3 2" xfId="11492"/>
    <cellStyle name="Normal 13 3 2 20 3 3" xfId="10179"/>
    <cellStyle name="Normal 13 3 2 20 3_Note Calc" xfId="27484"/>
    <cellStyle name="Normal 13 3 2 20 4" xfId="10804"/>
    <cellStyle name="Normal 13 3 2 20 5" xfId="9491"/>
    <cellStyle name="Normal 13 3 2 20_Forecast" xfId="22677"/>
    <cellStyle name="Normal 13 3 2 21" xfId="2566"/>
    <cellStyle name="Normal 13 3 2 21 2" xfId="8600"/>
    <cellStyle name="Normal 13 3 2 21 2 2" xfId="11419"/>
    <cellStyle name="Normal 13 3 2 21 2 3" xfId="10106"/>
    <cellStyle name="Normal 13 3 2 21 2_Note Calc" xfId="27485"/>
    <cellStyle name="Normal 13 3 2 21 3" xfId="8801"/>
    <cellStyle name="Normal 13 3 2 21 3 2" xfId="11493"/>
    <cellStyle name="Normal 13 3 2 21 3 3" xfId="10180"/>
    <cellStyle name="Normal 13 3 2 21 3_Note Calc" xfId="27486"/>
    <cellStyle name="Normal 13 3 2 21 4" xfId="10805"/>
    <cellStyle name="Normal 13 3 2 21 5" xfId="9492"/>
    <cellStyle name="Normal 13 3 2 21_Forecast" xfId="22678"/>
    <cellStyle name="Normal 13 3 2 22" xfId="2567"/>
    <cellStyle name="Normal 13 3 2 22 2" xfId="8601"/>
    <cellStyle name="Normal 13 3 2 22 2 2" xfId="11420"/>
    <cellStyle name="Normal 13 3 2 22 2 3" xfId="10107"/>
    <cellStyle name="Normal 13 3 2 22 2_Note Calc" xfId="27487"/>
    <cellStyle name="Normal 13 3 2 22 3" xfId="8802"/>
    <cellStyle name="Normal 13 3 2 22 3 2" xfId="11494"/>
    <cellStyle name="Normal 13 3 2 22 3 3" xfId="10181"/>
    <cellStyle name="Normal 13 3 2 22 3_Note Calc" xfId="27488"/>
    <cellStyle name="Normal 13 3 2 22 4" xfId="10806"/>
    <cellStyle name="Normal 13 3 2 22 5" xfId="9493"/>
    <cellStyle name="Normal 13 3 2 22_Forecast" xfId="22679"/>
    <cellStyle name="Normal 13 3 2 3" xfId="2568"/>
    <cellStyle name="Normal 13 3 2 3 2" xfId="8602"/>
    <cellStyle name="Normal 13 3 2 3 2 2" xfId="11421"/>
    <cellStyle name="Normal 13 3 2 3 2 3" xfId="10108"/>
    <cellStyle name="Normal 13 3 2 3 2_Note Calc" xfId="27489"/>
    <cellStyle name="Normal 13 3 2 3 3" xfId="8803"/>
    <cellStyle name="Normal 13 3 2 3 3 2" xfId="11495"/>
    <cellStyle name="Normal 13 3 2 3 3 3" xfId="10182"/>
    <cellStyle name="Normal 13 3 2 3 3_Note Calc" xfId="27490"/>
    <cellStyle name="Normal 13 3 2 3 4" xfId="10807"/>
    <cellStyle name="Normal 13 3 2 3 5" xfId="9494"/>
    <cellStyle name="Normal 13 3 2 3_Forecast" xfId="22680"/>
    <cellStyle name="Normal 13 3 2 4" xfId="2569"/>
    <cellStyle name="Normal 13 3 2 4 2" xfId="8603"/>
    <cellStyle name="Normal 13 3 2 4 2 2" xfId="11422"/>
    <cellStyle name="Normal 13 3 2 4 2 3" xfId="10109"/>
    <cellStyle name="Normal 13 3 2 4 2_Note Calc" xfId="27491"/>
    <cellStyle name="Normal 13 3 2 4 3" xfId="8804"/>
    <cellStyle name="Normal 13 3 2 4 3 2" xfId="11496"/>
    <cellStyle name="Normal 13 3 2 4 3 3" xfId="10183"/>
    <cellStyle name="Normal 13 3 2 4 3_Note Calc" xfId="27492"/>
    <cellStyle name="Normal 13 3 2 4 4" xfId="10808"/>
    <cellStyle name="Normal 13 3 2 4 5" xfId="9495"/>
    <cellStyle name="Normal 13 3 2 4_Forecast" xfId="22681"/>
    <cellStyle name="Normal 13 3 2 5" xfId="2570"/>
    <cellStyle name="Normal 13 3 2 5 2" xfId="8604"/>
    <cellStyle name="Normal 13 3 2 5 2 2" xfId="11423"/>
    <cellStyle name="Normal 13 3 2 5 2 3" xfId="10110"/>
    <cellStyle name="Normal 13 3 2 5 2_Note Calc" xfId="27493"/>
    <cellStyle name="Normal 13 3 2 5 3" xfId="8805"/>
    <cellStyle name="Normal 13 3 2 5 3 2" xfId="11497"/>
    <cellStyle name="Normal 13 3 2 5 3 3" xfId="10184"/>
    <cellStyle name="Normal 13 3 2 5 3_Note Calc" xfId="27494"/>
    <cellStyle name="Normal 13 3 2 5 4" xfId="10809"/>
    <cellStyle name="Normal 13 3 2 5 5" xfId="9496"/>
    <cellStyle name="Normal 13 3 2 5_Forecast" xfId="22682"/>
    <cellStyle name="Normal 13 3 2 6" xfId="2571"/>
    <cellStyle name="Normal 13 3 2 6 2" xfId="8605"/>
    <cellStyle name="Normal 13 3 2 6 2 2" xfId="11424"/>
    <cellStyle name="Normal 13 3 2 6 2 3" xfId="10111"/>
    <cellStyle name="Normal 13 3 2 6 2_Note Calc" xfId="27495"/>
    <cellStyle name="Normal 13 3 2 6 3" xfId="8806"/>
    <cellStyle name="Normal 13 3 2 6 3 2" xfId="11498"/>
    <cellStyle name="Normal 13 3 2 6 3 3" xfId="10185"/>
    <cellStyle name="Normal 13 3 2 6 3_Note Calc" xfId="27496"/>
    <cellStyle name="Normal 13 3 2 6 4" xfId="10810"/>
    <cellStyle name="Normal 13 3 2 6 5" xfId="9497"/>
    <cellStyle name="Normal 13 3 2 6_Forecast" xfId="22683"/>
    <cellStyle name="Normal 13 3 2 7" xfId="2572"/>
    <cellStyle name="Normal 13 3 2 7 2" xfId="8606"/>
    <cellStyle name="Normal 13 3 2 7 2 2" xfId="11425"/>
    <cellStyle name="Normal 13 3 2 7 2 3" xfId="10112"/>
    <cellStyle name="Normal 13 3 2 7 2_Note Calc" xfId="27497"/>
    <cellStyle name="Normal 13 3 2 7 3" xfId="8807"/>
    <cellStyle name="Normal 13 3 2 7 3 2" xfId="11499"/>
    <cellStyle name="Normal 13 3 2 7 3 3" xfId="10186"/>
    <cellStyle name="Normal 13 3 2 7 3_Note Calc" xfId="27498"/>
    <cellStyle name="Normal 13 3 2 7 4" xfId="10811"/>
    <cellStyle name="Normal 13 3 2 7 5" xfId="9498"/>
    <cellStyle name="Normal 13 3 2 7_Forecast" xfId="22684"/>
    <cellStyle name="Normal 13 3 2 8" xfId="2573"/>
    <cellStyle name="Normal 13 3 2 8 2" xfId="8607"/>
    <cellStyle name="Normal 13 3 2 8 2 2" xfId="11426"/>
    <cellStyle name="Normal 13 3 2 8 2 3" xfId="10113"/>
    <cellStyle name="Normal 13 3 2 8 2_Note Calc" xfId="27499"/>
    <cellStyle name="Normal 13 3 2 8 3" xfId="8808"/>
    <cellStyle name="Normal 13 3 2 8 3 2" xfId="11500"/>
    <cellStyle name="Normal 13 3 2 8 3 3" xfId="10187"/>
    <cellStyle name="Normal 13 3 2 8 3_Note Calc" xfId="27500"/>
    <cellStyle name="Normal 13 3 2 8 4" xfId="10812"/>
    <cellStyle name="Normal 13 3 2 8 5" xfId="9499"/>
    <cellStyle name="Normal 13 3 2 8_Forecast" xfId="22685"/>
    <cellStyle name="Normal 13 3 2 9" xfId="2574"/>
    <cellStyle name="Normal 13 3 2 9 2" xfId="8608"/>
    <cellStyle name="Normal 13 3 2 9 2 2" xfId="11427"/>
    <cellStyle name="Normal 13 3 2 9 2 3" xfId="10114"/>
    <cellStyle name="Normal 13 3 2 9 2_Note Calc" xfId="27501"/>
    <cellStyle name="Normal 13 3 2 9 3" xfId="8809"/>
    <cellStyle name="Normal 13 3 2 9 3 2" xfId="11501"/>
    <cellStyle name="Normal 13 3 2 9 3 3" xfId="10188"/>
    <cellStyle name="Normal 13 3 2 9 3_Note Calc" xfId="27502"/>
    <cellStyle name="Normal 13 3 2 9 4" xfId="10813"/>
    <cellStyle name="Normal 13 3 2 9 5" xfId="9500"/>
    <cellStyle name="Normal 13 3 2 9_Forecast" xfId="22686"/>
    <cellStyle name="Normal 13 3 2_Note Calc" xfId="27460"/>
    <cellStyle name="Normal 13 3 20" xfId="2575"/>
    <cellStyle name="Normal 13 3 21" xfId="2576"/>
    <cellStyle name="Normal 13 3 22" xfId="2577"/>
    <cellStyle name="Normal 13 3 23" xfId="2578"/>
    <cellStyle name="Normal 13 3 24" xfId="2579"/>
    <cellStyle name="Normal 13 3 25" xfId="2580"/>
    <cellStyle name="Normal 13 3 26" xfId="8587"/>
    <cellStyle name="Normal 13 3 26 2" xfId="11406"/>
    <cellStyle name="Normal 13 3 26 3" xfId="10093"/>
    <cellStyle name="Normal 13 3 26_Note Calc" xfId="27503"/>
    <cellStyle name="Normal 13 3 27" xfId="8788"/>
    <cellStyle name="Normal 13 3 27 2" xfId="11480"/>
    <cellStyle name="Normal 13 3 27 3" xfId="10167"/>
    <cellStyle name="Normal 13 3 27_Note Calc" xfId="27504"/>
    <cellStyle name="Normal 13 3 28" xfId="10792"/>
    <cellStyle name="Normal 13 3 29" xfId="9479"/>
    <cellStyle name="Normal 13 3 3" xfId="2581"/>
    <cellStyle name="Normal 13 3 4" xfId="2582"/>
    <cellStyle name="Normal 13 3 5" xfId="2583"/>
    <cellStyle name="Normal 13 3 6" xfId="2584"/>
    <cellStyle name="Normal 13 3 7" xfId="2585"/>
    <cellStyle name="Normal 13 3 8" xfId="2586"/>
    <cellStyle name="Normal 13 3 9" xfId="2587"/>
    <cellStyle name="Normal 13 3_Forecast" xfId="22687"/>
    <cellStyle name="Normal 13 30" xfId="2588"/>
    <cellStyle name="Normal 13 31" xfId="20071"/>
    <cellStyle name="Normal 13 4" xfId="2589"/>
    <cellStyle name="Normal 13 5" xfId="2590"/>
    <cellStyle name="Normal 13 6" xfId="2591"/>
    <cellStyle name="Normal 13 7" xfId="2592"/>
    <cellStyle name="Normal 13 8" xfId="2593"/>
    <cellStyle name="Normal 13 9" xfId="2594"/>
    <cellStyle name="Normal 13_Forecast" xfId="22688"/>
    <cellStyle name="Normal 130" xfId="21994"/>
    <cellStyle name="Normal 134" xfId="21995"/>
    <cellStyle name="Normal 135" xfId="21993"/>
    <cellStyle name="Normal 14" xfId="2595"/>
    <cellStyle name="Normal 14 10" xfId="2596"/>
    <cellStyle name="Normal 14 11" xfId="2597"/>
    <cellStyle name="Normal 14 12" xfId="2598"/>
    <cellStyle name="Normal 14 13" xfId="2599"/>
    <cellStyle name="Normal 14 14" xfId="2600"/>
    <cellStyle name="Normal 14 15" xfId="2601"/>
    <cellStyle name="Normal 14 16" xfId="2602"/>
    <cellStyle name="Normal 14 17" xfId="2603"/>
    <cellStyle name="Normal 14 18" xfId="2604"/>
    <cellStyle name="Normal 14 19" xfId="2605"/>
    <cellStyle name="Normal 14 2" xfId="2606"/>
    <cellStyle name="Normal 14 2 2" xfId="2607"/>
    <cellStyle name="Normal 14 2 3" xfId="2608"/>
    <cellStyle name="Normal 14 2 4" xfId="2609"/>
    <cellStyle name="Normal 14 2 5" xfId="2610"/>
    <cellStyle name="Normal 14 2 6" xfId="20073"/>
    <cellStyle name="Normal 14 2_Forecast" xfId="22689"/>
    <cellStyle name="Normal 14 20" xfId="2611"/>
    <cellStyle name="Normal 14 21" xfId="2612"/>
    <cellStyle name="Normal 14 22" xfId="2613"/>
    <cellStyle name="Normal 14 23" xfId="2614"/>
    <cellStyle name="Normal 14 24" xfId="2615"/>
    <cellStyle name="Normal 14 25" xfId="2616"/>
    <cellStyle name="Normal 14 26" xfId="2617"/>
    <cellStyle name="Normal 14 27" xfId="2618"/>
    <cellStyle name="Normal 14 28" xfId="2619"/>
    <cellStyle name="Normal 14 29" xfId="2620"/>
    <cellStyle name="Normal 14 3" xfId="2621"/>
    <cellStyle name="Normal 14 3 10" xfId="2622"/>
    <cellStyle name="Normal 14 3 11" xfId="2623"/>
    <cellStyle name="Normal 14 3 12" xfId="2624"/>
    <cellStyle name="Normal 14 3 13" xfId="2625"/>
    <cellStyle name="Normal 14 3 14" xfId="2626"/>
    <cellStyle name="Normal 14 3 15" xfId="2627"/>
    <cellStyle name="Normal 14 3 16" xfId="2628"/>
    <cellStyle name="Normal 14 3 17" xfId="2629"/>
    <cellStyle name="Normal 14 3 18" xfId="2630"/>
    <cellStyle name="Normal 14 3 19" xfId="2631"/>
    <cellStyle name="Normal 14 3 2" xfId="2632"/>
    <cellStyle name="Normal 14 3 2 10" xfId="2633"/>
    <cellStyle name="Normal 14 3 2 11" xfId="2634"/>
    <cellStyle name="Normal 14 3 2 12" xfId="2635"/>
    <cellStyle name="Normal 14 3 2 13" xfId="2636"/>
    <cellStyle name="Normal 14 3 2 14" xfId="2637"/>
    <cellStyle name="Normal 14 3 2 15" xfId="2638"/>
    <cellStyle name="Normal 14 3 2 16" xfId="2639"/>
    <cellStyle name="Normal 14 3 2 17" xfId="2640"/>
    <cellStyle name="Normal 14 3 2 18" xfId="2641"/>
    <cellStyle name="Normal 14 3 2 19" xfId="2642"/>
    <cellStyle name="Normal 14 3 2 2" xfId="2643"/>
    <cellStyle name="Normal 14 3 2 20" xfId="2644"/>
    <cellStyle name="Normal 14 3 2 21" xfId="2645"/>
    <cellStyle name="Normal 14 3 2 22" xfId="2646"/>
    <cellStyle name="Normal 14 3 2 3" xfId="2647"/>
    <cellStyle name="Normal 14 3 2 4" xfId="2648"/>
    <cellStyle name="Normal 14 3 2 5" xfId="2649"/>
    <cellStyle name="Normal 14 3 2 6" xfId="2650"/>
    <cellStyle name="Normal 14 3 2 7" xfId="2651"/>
    <cellStyle name="Normal 14 3 2 8" xfId="2652"/>
    <cellStyle name="Normal 14 3 2 9" xfId="2653"/>
    <cellStyle name="Normal 14 3 2_Forecast" xfId="22690"/>
    <cellStyle name="Normal 14 3 20" xfId="2654"/>
    <cellStyle name="Normal 14 3 21" xfId="2655"/>
    <cellStyle name="Normal 14 3 22" xfId="2656"/>
    <cellStyle name="Normal 14 3 23" xfId="2657"/>
    <cellStyle name="Normal 14 3 24" xfId="2658"/>
    <cellStyle name="Normal 14 3 25" xfId="2659"/>
    <cellStyle name="Normal 14 3 3" xfId="2660"/>
    <cellStyle name="Normal 14 3 4" xfId="2661"/>
    <cellStyle name="Normal 14 3 5" xfId="2662"/>
    <cellStyle name="Normal 14 3 6" xfId="2663"/>
    <cellStyle name="Normal 14 3 7" xfId="2664"/>
    <cellStyle name="Normal 14 3 8" xfId="2665"/>
    <cellStyle name="Normal 14 3 9" xfId="2666"/>
    <cellStyle name="Normal 14 3_Forecast" xfId="22691"/>
    <cellStyle name="Normal 14 30" xfId="2667"/>
    <cellStyle name="Normal 14 31" xfId="20072"/>
    <cellStyle name="Normal 14 4" xfId="2668"/>
    <cellStyle name="Normal 14 5" xfId="2669"/>
    <cellStyle name="Normal 14 6" xfId="2670"/>
    <cellStyle name="Normal 14 7" xfId="2671"/>
    <cellStyle name="Normal 14 8" xfId="2672"/>
    <cellStyle name="Normal 14 9" xfId="2673"/>
    <cellStyle name="Normal 14_Forecast" xfId="22692"/>
    <cellStyle name="Normal 15" xfId="2674"/>
    <cellStyle name="Normal 15 10" xfId="2675"/>
    <cellStyle name="Normal 15 11" xfId="2676"/>
    <cellStyle name="Normal 15 12" xfId="2677"/>
    <cellStyle name="Normal 15 13" xfId="2678"/>
    <cellStyle name="Normal 15 14" xfId="2679"/>
    <cellStyle name="Normal 15 15" xfId="2680"/>
    <cellStyle name="Normal 15 16" xfId="2681"/>
    <cellStyle name="Normal 15 17" xfId="2682"/>
    <cellStyle name="Normal 15 18" xfId="2683"/>
    <cellStyle name="Normal 15 19" xfId="2684"/>
    <cellStyle name="Normal 15 2" xfId="2685"/>
    <cellStyle name="Normal 15 2 2" xfId="2686"/>
    <cellStyle name="Normal 15 2 3" xfId="2687"/>
    <cellStyle name="Normal 15 2 4" xfId="2688"/>
    <cellStyle name="Normal 15 2 5" xfId="2689"/>
    <cellStyle name="Normal 15 2_Forecast" xfId="22693"/>
    <cellStyle name="Normal 15 20" xfId="2690"/>
    <cellStyle name="Normal 15 21" xfId="2691"/>
    <cellStyle name="Normal 15 22" xfId="2692"/>
    <cellStyle name="Normal 15 23" xfId="2693"/>
    <cellStyle name="Normal 15 24" xfId="2694"/>
    <cellStyle name="Normal 15 25" xfId="2695"/>
    <cellStyle name="Normal 15 26" xfId="2696"/>
    <cellStyle name="Normal 15 27" xfId="2697"/>
    <cellStyle name="Normal 15 28" xfId="2698"/>
    <cellStyle name="Normal 15 29" xfId="2699"/>
    <cellStyle name="Normal 15 3" xfId="2700"/>
    <cellStyle name="Normal 15 3 10" xfId="2701"/>
    <cellStyle name="Normal 15 3 11" xfId="2702"/>
    <cellStyle name="Normal 15 3 12" xfId="2703"/>
    <cellStyle name="Normal 15 3 13" xfId="2704"/>
    <cellStyle name="Normal 15 3 14" xfId="2705"/>
    <cellStyle name="Normal 15 3 15" xfId="2706"/>
    <cellStyle name="Normal 15 3 16" xfId="2707"/>
    <cellStyle name="Normal 15 3 17" xfId="2708"/>
    <cellStyle name="Normal 15 3 18" xfId="2709"/>
    <cellStyle name="Normal 15 3 19" xfId="2710"/>
    <cellStyle name="Normal 15 3 2" xfId="2711"/>
    <cellStyle name="Normal 15 3 2 10" xfId="2712"/>
    <cellStyle name="Normal 15 3 2 11" xfId="2713"/>
    <cellStyle name="Normal 15 3 2 12" xfId="2714"/>
    <cellStyle name="Normal 15 3 2 13" xfId="2715"/>
    <cellStyle name="Normal 15 3 2 14" xfId="2716"/>
    <cellStyle name="Normal 15 3 2 15" xfId="2717"/>
    <cellStyle name="Normal 15 3 2 16" xfId="2718"/>
    <cellStyle name="Normal 15 3 2 17" xfId="2719"/>
    <cellStyle name="Normal 15 3 2 18" xfId="2720"/>
    <cellStyle name="Normal 15 3 2 19" xfId="2721"/>
    <cellStyle name="Normal 15 3 2 2" xfId="2722"/>
    <cellStyle name="Normal 15 3 2 20" xfId="2723"/>
    <cellStyle name="Normal 15 3 2 21" xfId="2724"/>
    <cellStyle name="Normal 15 3 2 22" xfId="2725"/>
    <cellStyle name="Normal 15 3 2 3" xfId="2726"/>
    <cellStyle name="Normal 15 3 2 4" xfId="2727"/>
    <cellStyle name="Normal 15 3 2 5" xfId="2728"/>
    <cellStyle name="Normal 15 3 2 6" xfId="2729"/>
    <cellStyle name="Normal 15 3 2 7" xfId="2730"/>
    <cellStyle name="Normal 15 3 2 8" xfId="2731"/>
    <cellStyle name="Normal 15 3 2 9" xfId="2732"/>
    <cellStyle name="Normal 15 3 2_Forecast" xfId="22694"/>
    <cellStyle name="Normal 15 3 20" xfId="2733"/>
    <cellStyle name="Normal 15 3 21" xfId="2734"/>
    <cellStyle name="Normal 15 3 22" xfId="2735"/>
    <cellStyle name="Normal 15 3 23" xfId="2736"/>
    <cellStyle name="Normal 15 3 24" xfId="2737"/>
    <cellStyle name="Normal 15 3 25" xfId="2738"/>
    <cellStyle name="Normal 15 3 3" xfId="2739"/>
    <cellStyle name="Normal 15 3 4" xfId="2740"/>
    <cellStyle name="Normal 15 3 5" xfId="2741"/>
    <cellStyle name="Normal 15 3 6" xfId="2742"/>
    <cellStyle name="Normal 15 3 7" xfId="2743"/>
    <cellStyle name="Normal 15 3 8" xfId="2744"/>
    <cellStyle name="Normal 15 3 9" xfId="2745"/>
    <cellStyle name="Normal 15 3_Forecast" xfId="22695"/>
    <cellStyle name="Normal 15 30" xfId="2746"/>
    <cellStyle name="Normal 15 31" xfId="8046"/>
    <cellStyle name="Normal 15 31 2" xfId="9105"/>
    <cellStyle name="Normal 15 31 2 2" xfId="11796"/>
    <cellStyle name="Normal 15 31 2 3" xfId="10483"/>
    <cellStyle name="Normal 15 31 2_Note Calc" xfId="27505"/>
    <cellStyle name="Normal 15 31 3" xfId="11108"/>
    <cellStyle name="Normal 15 31 4" xfId="9795"/>
    <cellStyle name="Normal 15 31_Forecast" xfId="22696"/>
    <cellStyle name="Normal 15 32" xfId="8381"/>
    <cellStyle name="Normal 15 32 2" xfId="9299"/>
    <cellStyle name="Normal 15 32 2 2" xfId="11990"/>
    <cellStyle name="Normal 15 32 2 3" xfId="10677"/>
    <cellStyle name="Normal 15 32 2_Note Calc" xfId="27506"/>
    <cellStyle name="Normal 15 32 3" xfId="11302"/>
    <cellStyle name="Normal 15 32 4" xfId="9989"/>
    <cellStyle name="Normal 15 32_Forecast" xfId="22697"/>
    <cellStyle name="Normal 15 33" xfId="8500"/>
    <cellStyle name="Normal 15 33 2" xfId="9367"/>
    <cellStyle name="Normal 15 33 2 2" xfId="12058"/>
    <cellStyle name="Normal 15 33 2 3" xfId="10745"/>
    <cellStyle name="Normal 15 33 2_Note Calc" xfId="27507"/>
    <cellStyle name="Normal 15 33 3" xfId="11370"/>
    <cellStyle name="Normal 15 33 4" xfId="10057"/>
    <cellStyle name="Normal 15 33_Forecast" xfId="22698"/>
    <cellStyle name="Normal 15 4" xfId="2747"/>
    <cellStyle name="Normal 15 5" xfId="2748"/>
    <cellStyle name="Normal 15 6" xfId="2749"/>
    <cellStyle name="Normal 15 7" xfId="2750"/>
    <cellStyle name="Normal 15 8" xfId="2751"/>
    <cellStyle name="Normal 15 9" xfId="2752"/>
    <cellStyle name="Normal 15_Forecast" xfId="22699"/>
    <cellStyle name="Normal 16" xfId="2753"/>
    <cellStyle name="Normal 16 10" xfId="2754"/>
    <cellStyle name="Normal 16 11" xfId="2755"/>
    <cellStyle name="Normal 16 12" xfId="2756"/>
    <cellStyle name="Normal 16 13" xfId="2757"/>
    <cellStyle name="Normal 16 14" xfId="2758"/>
    <cellStyle name="Normal 16 15" xfId="2759"/>
    <cellStyle name="Normal 16 16" xfId="2760"/>
    <cellStyle name="Normal 16 17" xfId="2761"/>
    <cellStyle name="Normal 16 18" xfId="2762"/>
    <cellStyle name="Normal 16 19" xfId="2763"/>
    <cellStyle name="Normal 16 2" xfId="2764"/>
    <cellStyle name="Normal 16 2 2" xfId="2765"/>
    <cellStyle name="Normal 16 2 2 2" xfId="2766"/>
    <cellStyle name="Normal 16 2 2 3" xfId="2767"/>
    <cellStyle name="Normal 16 2 2 4" xfId="2768"/>
    <cellStyle name="Normal 16 2 2 5" xfId="22700"/>
    <cellStyle name="Normal 16 2 2_Forecast" xfId="22701"/>
    <cellStyle name="Normal 16 2 3" xfId="2769"/>
    <cellStyle name="Normal 16 2 4" xfId="2770"/>
    <cellStyle name="Normal 16 2_Forecast" xfId="22702"/>
    <cellStyle name="Normal 16 20" xfId="2771"/>
    <cellStyle name="Normal 16 21" xfId="2772"/>
    <cellStyle name="Normal 16 22" xfId="2773"/>
    <cellStyle name="Normal 16 23" xfId="2774"/>
    <cellStyle name="Normal 16 24" xfId="2775"/>
    <cellStyle name="Normal 16 25" xfId="2776"/>
    <cellStyle name="Normal 16 26" xfId="2777"/>
    <cellStyle name="Normal 16 27" xfId="2778"/>
    <cellStyle name="Normal 16 28" xfId="2779"/>
    <cellStyle name="Normal 16 29" xfId="2780"/>
    <cellStyle name="Normal 16 3" xfId="2781"/>
    <cellStyle name="Normal 16 30" xfId="2782"/>
    <cellStyle name="Normal 16 31" xfId="20074"/>
    <cellStyle name="Normal 16 4" xfId="2783"/>
    <cellStyle name="Normal 16 5" xfId="2784"/>
    <cellStyle name="Normal 16 6" xfId="2785"/>
    <cellStyle name="Normal 16 7" xfId="2786"/>
    <cellStyle name="Normal 16 8" xfId="2787"/>
    <cellStyle name="Normal 16 9" xfId="2788"/>
    <cellStyle name="Normal 16_Forecast" xfId="22703"/>
    <cellStyle name="Normal 17" xfId="2789"/>
    <cellStyle name="Normal 17 10" xfId="2790"/>
    <cellStyle name="Normal 17 11" xfId="2791"/>
    <cellStyle name="Normal 17 12" xfId="2792"/>
    <cellStyle name="Normal 17 13" xfId="2793"/>
    <cellStyle name="Normal 17 14" xfId="2794"/>
    <cellStyle name="Normal 17 15" xfId="2795"/>
    <cellStyle name="Normal 17 16" xfId="2796"/>
    <cellStyle name="Normal 17 17" xfId="2797"/>
    <cellStyle name="Normal 17 18" xfId="2798"/>
    <cellStyle name="Normal 17 19" xfId="2799"/>
    <cellStyle name="Normal 17 2" xfId="2800"/>
    <cellStyle name="Normal 17 2 2" xfId="2801"/>
    <cellStyle name="Normal 17 2 2 2" xfId="2802"/>
    <cellStyle name="Normal 17 2 2 3" xfId="2803"/>
    <cellStyle name="Normal 17 2 2 4" xfId="2804"/>
    <cellStyle name="Normal 17 2 2 5" xfId="22704"/>
    <cellStyle name="Normal 17 2 2_Forecast" xfId="22705"/>
    <cellStyle name="Normal 17 2 3" xfId="2805"/>
    <cellStyle name="Normal 17 2 4" xfId="2806"/>
    <cellStyle name="Normal 17 2_Forecast" xfId="22706"/>
    <cellStyle name="Normal 17 20" xfId="2807"/>
    <cellStyle name="Normal 17 21" xfId="2808"/>
    <cellStyle name="Normal 17 22" xfId="2809"/>
    <cellStyle name="Normal 17 23" xfId="2810"/>
    <cellStyle name="Normal 17 24" xfId="2811"/>
    <cellStyle name="Normal 17 25" xfId="2812"/>
    <cellStyle name="Normal 17 26" xfId="2813"/>
    <cellStyle name="Normal 17 27" xfId="2814"/>
    <cellStyle name="Normal 17 28" xfId="2815"/>
    <cellStyle name="Normal 17 29" xfId="2816"/>
    <cellStyle name="Normal 17 3" xfId="2817"/>
    <cellStyle name="Normal 17 30" xfId="2818"/>
    <cellStyle name="Normal 17 31" xfId="20075"/>
    <cellStyle name="Normal 17 4" xfId="2819"/>
    <cellStyle name="Normal 17 5" xfId="2820"/>
    <cellStyle name="Normal 17 6" xfId="2821"/>
    <cellStyle name="Normal 17 7" xfId="2822"/>
    <cellStyle name="Normal 17 8" xfId="2823"/>
    <cellStyle name="Normal 17 9" xfId="2824"/>
    <cellStyle name="Normal 17_Forecast" xfId="22707"/>
    <cellStyle name="Normal 18" xfId="2825"/>
    <cellStyle name="Normal 18 10" xfId="2826"/>
    <cellStyle name="Normal 18 11" xfId="2827"/>
    <cellStyle name="Normal 18 12" xfId="2828"/>
    <cellStyle name="Normal 18 13" xfId="2829"/>
    <cellStyle name="Normal 18 14" xfId="2830"/>
    <cellStyle name="Normal 18 15" xfId="2831"/>
    <cellStyle name="Normal 18 16" xfId="2832"/>
    <cellStyle name="Normal 18 17" xfId="2833"/>
    <cellStyle name="Normal 18 18" xfId="2834"/>
    <cellStyle name="Normal 18 19" xfId="2835"/>
    <cellStyle name="Normal 18 2" xfId="2836"/>
    <cellStyle name="Normal 18 2 2" xfId="2837"/>
    <cellStyle name="Normal 18 2 2 2" xfId="2838"/>
    <cellStyle name="Normal 18 2 2 3" xfId="2839"/>
    <cellStyle name="Normal 18 2 2 4" xfId="2840"/>
    <cellStyle name="Normal 18 2 2 5" xfId="22708"/>
    <cellStyle name="Normal 18 2 2_Forecast" xfId="22709"/>
    <cellStyle name="Normal 18 2 3" xfId="2841"/>
    <cellStyle name="Normal 18 2 4" xfId="2842"/>
    <cellStyle name="Normal 18 2_Forecast" xfId="22710"/>
    <cellStyle name="Normal 18 20" xfId="2843"/>
    <cellStyle name="Normal 18 21" xfId="2844"/>
    <cellStyle name="Normal 18 22" xfId="2845"/>
    <cellStyle name="Normal 18 23" xfId="2846"/>
    <cellStyle name="Normal 18 24" xfId="2847"/>
    <cellStyle name="Normal 18 25" xfId="2848"/>
    <cellStyle name="Normal 18 26" xfId="2849"/>
    <cellStyle name="Normal 18 27" xfId="2850"/>
    <cellStyle name="Normal 18 28" xfId="2851"/>
    <cellStyle name="Normal 18 29" xfId="2852"/>
    <cellStyle name="Normal 18 3" xfId="2853"/>
    <cellStyle name="Normal 18 30" xfId="2854"/>
    <cellStyle name="Normal 18 31" xfId="20076"/>
    <cellStyle name="Normal 18 4" xfId="2855"/>
    <cellStyle name="Normal 18 5" xfId="2856"/>
    <cellStyle name="Normal 18 6" xfId="2857"/>
    <cellStyle name="Normal 18 7" xfId="2858"/>
    <cellStyle name="Normal 18 8" xfId="2859"/>
    <cellStyle name="Normal 18 9" xfId="2860"/>
    <cellStyle name="Normal 18_Forecast" xfId="22711"/>
    <cellStyle name="Normal 19" xfId="2861"/>
    <cellStyle name="Normal 19 10" xfId="2862"/>
    <cellStyle name="Normal 19 11" xfId="2863"/>
    <cellStyle name="Normal 19 12" xfId="2864"/>
    <cellStyle name="Normal 19 13" xfId="2865"/>
    <cellStyle name="Normal 19 14" xfId="2866"/>
    <cellStyle name="Normal 19 15" xfId="2867"/>
    <cellStyle name="Normal 19 16" xfId="2868"/>
    <cellStyle name="Normal 19 17" xfId="2869"/>
    <cellStyle name="Normal 19 18" xfId="2870"/>
    <cellStyle name="Normal 19 19" xfId="2871"/>
    <cellStyle name="Normal 19 2" xfId="2872"/>
    <cellStyle name="Normal 19 2 2" xfId="2873"/>
    <cellStyle name="Normal 19 2 2 2" xfId="2874"/>
    <cellStyle name="Normal 19 2 2 3" xfId="2875"/>
    <cellStyle name="Normal 19 2 2 4" xfId="2876"/>
    <cellStyle name="Normal 19 2 2 5" xfId="22712"/>
    <cellStyle name="Normal 19 2 2_Forecast" xfId="22713"/>
    <cellStyle name="Normal 19 2 3" xfId="2877"/>
    <cellStyle name="Normal 19 2 4" xfId="2878"/>
    <cellStyle name="Normal 19 2_Forecast" xfId="22714"/>
    <cellStyle name="Normal 19 20" xfId="2879"/>
    <cellStyle name="Normal 19 21" xfId="2880"/>
    <cellStyle name="Normal 19 22" xfId="2881"/>
    <cellStyle name="Normal 19 23" xfId="2882"/>
    <cellStyle name="Normal 19 24" xfId="2883"/>
    <cellStyle name="Normal 19 25" xfId="2884"/>
    <cellStyle name="Normal 19 26" xfId="2885"/>
    <cellStyle name="Normal 19 27" xfId="2886"/>
    <cellStyle name="Normal 19 28" xfId="2887"/>
    <cellStyle name="Normal 19 29" xfId="2888"/>
    <cellStyle name="Normal 19 3" xfId="2889"/>
    <cellStyle name="Normal 19 30" xfId="2890"/>
    <cellStyle name="Normal 19 31" xfId="20077"/>
    <cellStyle name="Normal 19 4" xfId="2891"/>
    <cellStyle name="Normal 19 5" xfId="2892"/>
    <cellStyle name="Normal 19 6" xfId="2893"/>
    <cellStyle name="Normal 19 7" xfId="2894"/>
    <cellStyle name="Normal 19 8" xfId="2895"/>
    <cellStyle name="Normal 19 9" xfId="2896"/>
    <cellStyle name="Normal 19_Forecast" xfId="22715"/>
    <cellStyle name="Normal 2" xfId="2897"/>
    <cellStyle name="Normal 2 10" xfId="2898"/>
    <cellStyle name="Normal 2 10 2" xfId="8048"/>
    <cellStyle name="Normal 2 10 2 2" xfId="8676"/>
    <cellStyle name="Normal 2 10 2 2 2" xfId="9432"/>
    <cellStyle name="Normal 2 10 2 2 2 2" xfId="22716"/>
    <cellStyle name="Normal 2 10 2 2 2 2 2" xfId="22717"/>
    <cellStyle name="Normal 2 10 2 2 2 2_Forecast" xfId="22718"/>
    <cellStyle name="Normal 2 10 2 2 2 3" xfId="22719"/>
    <cellStyle name="Normal 2 10 2 2 2_Forecast" xfId="22720"/>
    <cellStyle name="Normal 2 10 2 2 3" xfId="22721"/>
    <cellStyle name="Normal 2 10 2 2 3 2" xfId="22722"/>
    <cellStyle name="Normal 2 10 2 2 3_Forecast" xfId="22723"/>
    <cellStyle name="Normal 2 10 2 2 4" xfId="22724"/>
    <cellStyle name="Normal 2 10 2 2 5" xfId="22725"/>
    <cellStyle name="Normal 2 10 2 2_Forecast" xfId="22726"/>
    <cellStyle name="Normal 2 10 2 3" xfId="8741"/>
    <cellStyle name="Normal 2 10 2 3 2" xfId="22727"/>
    <cellStyle name="Normal 2 10 2 3 2 2" xfId="22728"/>
    <cellStyle name="Normal 2 10 2 3 2_Forecast" xfId="22729"/>
    <cellStyle name="Normal 2 10 2 3 3" xfId="22730"/>
    <cellStyle name="Normal 2 10 2 3_Forecast" xfId="22731"/>
    <cellStyle name="Normal 2 10 2 4" xfId="12181"/>
    <cellStyle name="Normal 2 10 2 4 2" xfId="22732"/>
    <cellStyle name="Normal 2 10 2 4_Forecast" xfId="22733"/>
    <cellStyle name="Normal 2 10 2 5" xfId="22734"/>
    <cellStyle name="Normal 2 10 2 6" xfId="22735"/>
    <cellStyle name="Normal 2 10 2_Forecast" xfId="22736"/>
    <cellStyle name="Normal 2 10 3" xfId="8383"/>
    <cellStyle name="Normal 2 10 3 2" xfId="8692"/>
    <cellStyle name="Normal 2 10 3 2 2" xfId="9448"/>
    <cellStyle name="Normal 2 10 3 2 2 2" xfId="22737"/>
    <cellStyle name="Normal 2 10 3 2 2 2 2" xfId="22738"/>
    <cellStyle name="Normal 2 10 3 2 2 2_Forecast" xfId="22739"/>
    <cellStyle name="Normal 2 10 3 2 2 3" xfId="22740"/>
    <cellStyle name="Normal 2 10 3 2 2_Forecast" xfId="22741"/>
    <cellStyle name="Normal 2 10 3 2 3" xfId="22742"/>
    <cellStyle name="Normal 2 10 3 2 3 2" xfId="22743"/>
    <cellStyle name="Normal 2 10 3 2 3_Forecast" xfId="22744"/>
    <cellStyle name="Normal 2 10 3 2 4" xfId="22745"/>
    <cellStyle name="Normal 2 10 3 2 5" xfId="22746"/>
    <cellStyle name="Normal 2 10 3 2_Forecast" xfId="22747"/>
    <cellStyle name="Normal 2 10 3 3" xfId="8757"/>
    <cellStyle name="Normal 2 10 3 3 2" xfId="22748"/>
    <cellStyle name="Normal 2 10 3 3 2 2" xfId="22749"/>
    <cellStyle name="Normal 2 10 3 3 2_Forecast" xfId="22750"/>
    <cellStyle name="Normal 2 10 3 3 3" xfId="22751"/>
    <cellStyle name="Normal 2 10 3 3_Forecast" xfId="22752"/>
    <cellStyle name="Normal 2 10 3 4" xfId="12197"/>
    <cellStyle name="Normal 2 10 3 4 2" xfId="22753"/>
    <cellStyle name="Normal 2 10 3 4_Forecast" xfId="22754"/>
    <cellStyle name="Normal 2 10 3 5" xfId="22755"/>
    <cellStyle name="Normal 2 10 3 6" xfId="22756"/>
    <cellStyle name="Normal 2 10 3_Forecast" xfId="22757"/>
    <cellStyle name="Normal 2 10 4" xfId="8502"/>
    <cellStyle name="Normal 2 10 4 2" xfId="8702"/>
    <cellStyle name="Normal 2 10 4 2 2" xfId="9458"/>
    <cellStyle name="Normal 2 10 4 2 2 2" xfId="22758"/>
    <cellStyle name="Normal 2 10 4 2 2 2 2" xfId="22759"/>
    <cellStyle name="Normal 2 10 4 2 2 2_Forecast" xfId="22760"/>
    <cellStyle name="Normal 2 10 4 2 2 3" xfId="22761"/>
    <cellStyle name="Normal 2 10 4 2 2_Forecast" xfId="22762"/>
    <cellStyle name="Normal 2 10 4 2 3" xfId="22763"/>
    <cellStyle name="Normal 2 10 4 2 3 2" xfId="22764"/>
    <cellStyle name="Normal 2 10 4 2 3_Forecast" xfId="22765"/>
    <cellStyle name="Normal 2 10 4 2 4" xfId="22766"/>
    <cellStyle name="Normal 2 10 4 2 5" xfId="22767"/>
    <cellStyle name="Normal 2 10 4 2_Forecast" xfId="22768"/>
    <cellStyle name="Normal 2 10 4 3" xfId="8767"/>
    <cellStyle name="Normal 2 10 4 3 2" xfId="22769"/>
    <cellStyle name="Normal 2 10 4 3 2 2" xfId="22770"/>
    <cellStyle name="Normal 2 10 4 3 2_Forecast" xfId="22771"/>
    <cellStyle name="Normal 2 10 4 3 3" xfId="22772"/>
    <cellStyle name="Normal 2 10 4 3_Forecast" xfId="22773"/>
    <cellStyle name="Normal 2 10 4 4" xfId="12207"/>
    <cellStyle name="Normal 2 10 4 4 2" xfId="22774"/>
    <cellStyle name="Normal 2 10 4 4_Forecast" xfId="22775"/>
    <cellStyle name="Normal 2 10 4 5" xfId="22776"/>
    <cellStyle name="Normal 2 10 4 6" xfId="22777"/>
    <cellStyle name="Normal 2 10 4_Forecast" xfId="22778"/>
    <cellStyle name="Normal 2 10 5" xfId="20079"/>
    <cellStyle name="Normal 2 10_Forecast" xfId="22779"/>
    <cellStyle name="Normal 2 11" xfId="2899"/>
    <cellStyle name="Normal 2 11 2" xfId="8049"/>
    <cellStyle name="Normal 2 11 2 2" xfId="8677"/>
    <cellStyle name="Normal 2 11 2 2 2" xfId="9433"/>
    <cellStyle name="Normal 2 11 2 2 2 2" xfId="22780"/>
    <cellStyle name="Normal 2 11 2 2 2 2 2" xfId="22781"/>
    <cellStyle name="Normal 2 11 2 2 2 2_Forecast" xfId="22782"/>
    <cellStyle name="Normal 2 11 2 2 2 3" xfId="22783"/>
    <cellStyle name="Normal 2 11 2 2 2_Forecast" xfId="22784"/>
    <cellStyle name="Normal 2 11 2 2 3" xfId="22785"/>
    <cellStyle name="Normal 2 11 2 2 3 2" xfId="22786"/>
    <cellStyle name="Normal 2 11 2 2 3_Forecast" xfId="22787"/>
    <cellStyle name="Normal 2 11 2 2 4" xfId="22788"/>
    <cellStyle name="Normal 2 11 2 2 5" xfId="22789"/>
    <cellStyle name="Normal 2 11 2 2_Forecast" xfId="22790"/>
    <cellStyle name="Normal 2 11 2 3" xfId="8742"/>
    <cellStyle name="Normal 2 11 2 3 2" xfId="22791"/>
    <cellStyle name="Normal 2 11 2 3 2 2" xfId="22792"/>
    <cellStyle name="Normal 2 11 2 3 2_Forecast" xfId="22793"/>
    <cellStyle name="Normal 2 11 2 3 3" xfId="22794"/>
    <cellStyle name="Normal 2 11 2 3_Forecast" xfId="22795"/>
    <cellStyle name="Normal 2 11 2 4" xfId="12182"/>
    <cellStyle name="Normal 2 11 2 4 2" xfId="22796"/>
    <cellStyle name="Normal 2 11 2 4_Forecast" xfId="22797"/>
    <cellStyle name="Normal 2 11 2 5" xfId="22798"/>
    <cellStyle name="Normal 2 11 2 6" xfId="22799"/>
    <cellStyle name="Normal 2 11 2_Forecast" xfId="22800"/>
    <cellStyle name="Normal 2 11 3" xfId="8384"/>
    <cellStyle name="Normal 2 11 3 2" xfId="8693"/>
    <cellStyle name="Normal 2 11 3 2 2" xfId="9449"/>
    <cellStyle name="Normal 2 11 3 2 2 2" xfId="22801"/>
    <cellStyle name="Normal 2 11 3 2 2 2 2" xfId="22802"/>
    <cellStyle name="Normal 2 11 3 2 2 2_Forecast" xfId="22803"/>
    <cellStyle name="Normal 2 11 3 2 2 3" xfId="22804"/>
    <cellStyle name="Normal 2 11 3 2 2_Forecast" xfId="22805"/>
    <cellStyle name="Normal 2 11 3 2 3" xfId="22806"/>
    <cellStyle name="Normal 2 11 3 2 3 2" xfId="22807"/>
    <cellStyle name="Normal 2 11 3 2 3_Forecast" xfId="22808"/>
    <cellStyle name="Normal 2 11 3 2 4" xfId="22809"/>
    <cellStyle name="Normal 2 11 3 2 5" xfId="22810"/>
    <cellStyle name="Normal 2 11 3 2_Forecast" xfId="22811"/>
    <cellStyle name="Normal 2 11 3 3" xfId="8758"/>
    <cellStyle name="Normal 2 11 3 3 2" xfId="22812"/>
    <cellStyle name="Normal 2 11 3 3 2 2" xfId="22813"/>
    <cellStyle name="Normal 2 11 3 3 2_Forecast" xfId="22814"/>
    <cellStyle name="Normal 2 11 3 3 3" xfId="22815"/>
    <cellStyle name="Normal 2 11 3 3_Forecast" xfId="22816"/>
    <cellStyle name="Normal 2 11 3 4" xfId="12198"/>
    <cellStyle name="Normal 2 11 3 4 2" xfId="22817"/>
    <cellStyle name="Normal 2 11 3 4_Forecast" xfId="22818"/>
    <cellStyle name="Normal 2 11 3 5" xfId="22819"/>
    <cellStyle name="Normal 2 11 3 6" xfId="22820"/>
    <cellStyle name="Normal 2 11 3_Forecast" xfId="22821"/>
    <cellStyle name="Normal 2 11 4" xfId="8503"/>
    <cellStyle name="Normal 2 11 4 2" xfId="8703"/>
    <cellStyle name="Normal 2 11 4 2 2" xfId="9459"/>
    <cellStyle name="Normal 2 11 4 2 2 2" xfId="22822"/>
    <cellStyle name="Normal 2 11 4 2 2 2 2" xfId="22823"/>
    <cellStyle name="Normal 2 11 4 2 2 2_Forecast" xfId="22824"/>
    <cellStyle name="Normal 2 11 4 2 2 3" xfId="22825"/>
    <cellStyle name="Normal 2 11 4 2 2_Forecast" xfId="22826"/>
    <cellStyle name="Normal 2 11 4 2 3" xfId="22827"/>
    <cellStyle name="Normal 2 11 4 2 3 2" xfId="22828"/>
    <cellStyle name="Normal 2 11 4 2 3_Forecast" xfId="22829"/>
    <cellStyle name="Normal 2 11 4 2 4" xfId="22830"/>
    <cellStyle name="Normal 2 11 4 2 5" xfId="22831"/>
    <cellStyle name="Normal 2 11 4 2_Forecast" xfId="22832"/>
    <cellStyle name="Normal 2 11 4 3" xfId="8768"/>
    <cellStyle name="Normal 2 11 4 3 2" xfId="22833"/>
    <cellStyle name="Normal 2 11 4 3 2 2" xfId="22834"/>
    <cellStyle name="Normal 2 11 4 3 2_Forecast" xfId="22835"/>
    <cellStyle name="Normal 2 11 4 3 3" xfId="22836"/>
    <cellStyle name="Normal 2 11 4 3_Forecast" xfId="22837"/>
    <cellStyle name="Normal 2 11 4 4" xfId="12208"/>
    <cellStyle name="Normal 2 11 4 4 2" xfId="22838"/>
    <cellStyle name="Normal 2 11 4 4_Forecast" xfId="22839"/>
    <cellStyle name="Normal 2 11 4 5" xfId="22840"/>
    <cellStyle name="Normal 2 11 4 6" xfId="22841"/>
    <cellStyle name="Normal 2 11 4_Forecast" xfId="22842"/>
    <cellStyle name="Normal 2 11 5" xfId="20080"/>
    <cellStyle name="Normal 2 11_Forecast" xfId="22843"/>
    <cellStyle name="Normal 2 12" xfId="2900"/>
    <cellStyle name="Normal 2 12 2" xfId="8050"/>
    <cellStyle name="Normal 2 12 2 2" xfId="8678"/>
    <cellStyle name="Normal 2 12 2 2 2" xfId="9434"/>
    <cellStyle name="Normal 2 12 2 2 2 2" xfId="22844"/>
    <cellStyle name="Normal 2 12 2 2 2 2 2" xfId="22845"/>
    <cellStyle name="Normal 2 12 2 2 2 2_Forecast" xfId="22846"/>
    <cellStyle name="Normal 2 12 2 2 2 3" xfId="22847"/>
    <cellStyle name="Normal 2 12 2 2 2_Forecast" xfId="22848"/>
    <cellStyle name="Normal 2 12 2 2 3" xfId="22849"/>
    <cellStyle name="Normal 2 12 2 2 3 2" xfId="22850"/>
    <cellStyle name="Normal 2 12 2 2 3_Forecast" xfId="22851"/>
    <cellStyle name="Normal 2 12 2 2 4" xfId="22852"/>
    <cellStyle name="Normal 2 12 2 2 5" xfId="22853"/>
    <cellStyle name="Normal 2 12 2 2_Forecast" xfId="22854"/>
    <cellStyle name="Normal 2 12 2 3" xfId="8743"/>
    <cellStyle name="Normal 2 12 2 3 2" xfId="22855"/>
    <cellStyle name="Normal 2 12 2 3 2 2" xfId="22856"/>
    <cellStyle name="Normal 2 12 2 3 2_Forecast" xfId="22857"/>
    <cellStyle name="Normal 2 12 2 3 3" xfId="22858"/>
    <cellStyle name="Normal 2 12 2 3_Forecast" xfId="22859"/>
    <cellStyle name="Normal 2 12 2 4" xfId="12183"/>
    <cellStyle name="Normal 2 12 2 4 2" xfId="22860"/>
    <cellStyle name="Normal 2 12 2 4_Forecast" xfId="22861"/>
    <cellStyle name="Normal 2 12 2 5" xfId="21640"/>
    <cellStyle name="Normal 2 12 2 6" xfId="22862"/>
    <cellStyle name="Normal 2 12 2_Forecast" xfId="22863"/>
    <cellStyle name="Normal 2 12 3" xfId="8385"/>
    <cellStyle name="Normal 2 12 3 2" xfId="8694"/>
    <cellStyle name="Normal 2 12 3 2 2" xfId="9450"/>
    <cellStyle name="Normal 2 12 3 2 2 2" xfId="22864"/>
    <cellStyle name="Normal 2 12 3 2 2 2 2" xfId="22865"/>
    <cellStyle name="Normal 2 12 3 2 2 2_Forecast" xfId="22866"/>
    <cellStyle name="Normal 2 12 3 2 2 3" xfId="22867"/>
    <cellStyle name="Normal 2 12 3 2 2_Forecast" xfId="22868"/>
    <cellStyle name="Normal 2 12 3 2 3" xfId="22869"/>
    <cellStyle name="Normal 2 12 3 2 3 2" xfId="22870"/>
    <cellStyle name="Normal 2 12 3 2 3_Forecast" xfId="22871"/>
    <cellStyle name="Normal 2 12 3 2 4" xfId="22872"/>
    <cellStyle name="Normal 2 12 3 2 5" xfId="22873"/>
    <cellStyle name="Normal 2 12 3 2_Forecast" xfId="22874"/>
    <cellStyle name="Normal 2 12 3 3" xfId="8759"/>
    <cellStyle name="Normal 2 12 3 3 2" xfId="22875"/>
    <cellStyle name="Normal 2 12 3 3 2 2" xfId="22876"/>
    <cellStyle name="Normal 2 12 3 3 2_Forecast" xfId="22877"/>
    <cellStyle name="Normal 2 12 3 3 3" xfId="22878"/>
    <cellStyle name="Normal 2 12 3 3_Forecast" xfId="22879"/>
    <cellStyle name="Normal 2 12 3 4" xfId="12199"/>
    <cellStyle name="Normal 2 12 3 4 2" xfId="22880"/>
    <cellStyle name="Normal 2 12 3 4_Forecast" xfId="22881"/>
    <cellStyle name="Normal 2 12 3 5" xfId="22882"/>
    <cellStyle name="Normal 2 12 3 6" xfId="22883"/>
    <cellStyle name="Normal 2 12 3_Forecast" xfId="22884"/>
    <cellStyle name="Normal 2 12 4" xfId="8504"/>
    <cellStyle name="Normal 2 12 4 2" xfId="8704"/>
    <cellStyle name="Normal 2 12 4 2 2" xfId="9460"/>
    <cellStyle name="Normal 2 12 4 2 2 2" xfId="22885"/>
    <cellStyle name="Normal 2 12 4 2 2 2 2" xfId="22886"/>
    <cellStyle name="Normal 2 12 4 2 2 2_Forecast" xfId="22887"/>
    <cellStyle name="Normal 2 12 4 2 2 3" xfId="22888"/>
    <cellStyle name="Normal 2 12 4 2 2_Forecast" xfId="22889"/>
    <cellStyle name="Normal 2 12 4 2 3" xfId="22890"/>
    <cellStyle name="Normal 2 12 4 2 3 2" xfId="22891"/>
    <cellStyle name="Normal 2 12 4 2 3_Forecast" xfId="22892"/>
    <cellStyle name="Normal 2 12 4 2 4" xfId="22893"/>
    <cellStyle name="Normal 2 12 4 2 5" xfId="22894"/>
    <cellStyle name="Normal 2 12 4 2_Forecast" xfId="22895"/>
    <cellStyle name="Normal 2 12 4 3" xfId="8769"/>
    <cellStyle name="Normal 2 12 4 3 2" xfId="22896"/>
    <cellStyle name="Normal 2 12 4 3 2 2" xfId="22897"/>
    <cellStyle name="Normal 2 12 4 3 2_Forecast" xfId="22898"/>
    <cellStyle name="Normal 2 12 4 3 3" xfId="22899"/>
    <cellStyle name="Normal 2 12 4 3_Forecast" xfId="22900"/>
    <cellStyle name="Normal 2 12 4 4" xfId="12209"/>
    <cellStyle name="Normal 2 12 4 4 2" xfId="22901"/>
    <cellStyle name="Normal 2 12 4 4_Forecast" xfId="22902"/>
    <cellStyle name="Normal 2 12 4 5" xfId="22903"/>
    <cellStyle name="Normal 2 12 4 6" xfId="22904"/>
    <cellStyle name="Normal 2 12 4_Forecast" xfId="22905"/>
    <cellStyle name="Normal 2 12 5" xfId="21285"/>
    <cellStyle name="Normal 2 12_Forecast" xfId="22906"/>
    <cellStyle name="Normal 2 13" xfId="2901"/>
    <cellStyle name="Normal 2 13 2" xfId="21641"/>
    <cellStyle name="Normal 2 13_Note Calc" xfId="27508"/>
    <cellStyle name="Normal 2 14" xfId="2902"/>
    <cellStyle name="Normal 2 15" xfId="2903"/>
    <cellStyle name="Normal 2 16" xfId="2904"/>
    <cellStyle name="Normal 2 17" xfId="2905"/>
    <cellStyle name="Normal 2 18" xfId="2906"/>
    <cellStyle name="Normal 2 19" xfId="2907"/>
    <cellStyle name="Normal 2 2" xfId="2908"/>
    <cellStyle name="Normal 2 2 10" xfId="8505"/>
    <cellStyle name="Normal 2 2 10 2" xfId="8705"/>
    <cellStyle name="Normal 2 2 10 2 2" xfId="9461"/>
    <cellStyle name="Normal 2 2 10 2 2 2" xfId="22907"/>
    <cellStyle name="Normal 2 2 10 2 2 2 2" xfId="22908"/>
    <cellStyle name="Normal 2 2 10 2 2 2_Forecast" xfId="22909"/>
    <cellStyle name="Normal 2 2 10 2 2 3" xfId="22910"/>
    <cellStyle name="Normal 2 2 10 2 2_Forecast" xfId="22911"/>
    <cellStyle name="Normal 2 2 10 2 3" xfId="22912"/>
    <cellStyle name="Normal 2 2 10 2 3 2" xfId="22913"/>
    <cellStyle name="Normal 2 2 10 2 3_Forecast" xfId="22914"/>
    <cellStyle name="Normal 2 2 10 2 4" xfId="22915"/>
    <cellStyle name="Normal 2 2 10 2 5" xfId="22916"/>
    <cellStyle name="Normal 2 2 10 2_Forecast" xfId="22917"/>
    <cellStyle name="Normal 2 2 10 3" xfId="8770"/>
    <cellStyle name="Normal 2 2 10 3 2" xfId="22918"/>
    <cellStyle name="Normal 2 2 10 3 2 2" xfId="22919"/>
    <cellStyle name="Normal 2 2 10 3 2_Forecast" xfId="22920"/>
    <cellStyle name="Normal 2 2 10 3 3" xfId="22921"/>
    <cellStyle name="Normal 2 2 10 3_Forecast" xfId="22922"/>
    <cellStyle name="Normal 2 2 10 4" xfId="12210"/>
    <cellStyle name="Normal 2 2 10 4 2" xfId="22923"/>
    <cellStyle name="Normal 2 2 10 4_Forecast" xfId="22924"/>
    <cellStyle name="Normal 2 2 10 5" xfId="22925"/>
    <cellStyle name="Normal 2 2 10 6" xfId="22926"/>
    <cellStyle name="Normal 2 2 10_Forecast" xfId="22927"/>
    <cellStyle name="Normal 2 2 11" xfId="12137"/>
    <cellStyle name="Normal 2 2 12" xfId="12217"/>
    <cellStyle name="Normal 2 2 13" xfId="12096"/>
    <cellStyle name="Normal 2 2 14" xfId="27509"/>
    <cellStyle name="Normal 2 2 2" xfId="2909"/>
    <cellStyle name="Normal 2 2 2 2" xfId="8053"/>
    <cellStyle name="Normal 2 2 2 2 10" xfId="12185"/>
    <cellStyle name="Normal 2 2 2 2 10 2" xfId="22928"/>
    <cellStyle name="Normal 2 2 2 2 10_Forecast" xfId="22929"/>
    <cellStyle name="Normal 2 2 2 2 11" xfId="22930"/>
    <cellStyle name="Normal 2 2 2 2 12" xfId="22931"/>
    <cellStyle name="Normal 2 2 2 2 2" xfId="8054"/>
    <cellStyle name="Normal 2 2 2 2 3" xfId="8055"/>
    <cellStyle name="Normal 2 2 2 2 4" xfId="8056"/>
    <cellStyle name="Normal 2 2 2 2 5" xfId="8057"/>
    <cellStyle name="Normal 2 2 2 2 6" xfId="8058"/>
    <cellStyle name="Normal 2 2 2 2 7" xfId="8059"/>
    <cellStyle name="Normal 2 2 2 2 8" xfId="8680"/>
    <cellStyle name="Normal 2 2 2 2 8 2" xfId="9436"/>
    <cellStyle name="Normal 2 2 2 2 8 2 2" xfId="22932"/>
    <cellStyle name="Normal 2 2 2 2 8 2 2 2" xfId="22933"/>
    <cellStyle name="Normal 2 2 2 2 8 2 2_Forecast" xfId="22934"/>
    <cellStyle name="Normal 2 2 2 2 8 2 3" xfId="22935"/>
    <cellStyle name="Normal 2 2 2 2 8 2_Forecast" xfId="22936"/>
    <cellStyle name="Normal 2 2 2 2 8 3" xfId="22937"/>
    <cellStyle name="Normal 2 2 2 2 8 3 2" xfId="22938"/>
    <cellStyle name="Normal 2 2 2 2 8 3_Forecast" xfId="22939"/>
    <cellStyle name="Normal 2 2 2 2 8 4" xfId="22940"/>
    <cellStyle name="Normal 2 2 2 2 8 5" xfId="22941"/>
    <cellStyle name="Normal 2 2 2 2 8_Forecast" xfId="22942"/>
    <cellStyle name="Normal 2 2 2 2 9" xfId="8745"/>
    <cellStyle name="Normal 2 2 2 2 9 2" xfId="22943"/>
    <cellStyle name="Normal 2 2 2 2 9 2 2" xfId="22944"/>
    <cellStyle name="Normal 2 2 2 2 9 2_Forecast" xfId="22945"/>
    <cellStyle name="Normal 2 2 2 2 9 3" xfId="22946"/>
    <cellStyle name="Normal 2 2 2 2 9_Forecast" xfId="22947"/>
    <cellStyle name="Normal 2 2 2 2_Forecast" xfId="22948"/>
    <cellStyle name="Normal 2 2 2 3" xfId="8060"/>
    <cellStyle name="Normal 2 2 2 3 2" xfId="8681"/>
    <cellStyle name="Normal 2 2 2 3 2 2" xfId="9437"/>
    <cellStyle name="Normal 2 2 2 3 2 2 2" xfId="22949"/>
    <cellStyle name="Normal 2 2 2 3 2 2 2 2" xfId="22950"/>
    <cellStyle name="Normal 2 2 2 3 2 2 2_Forecast" xfId="22951"/>
    <cellStyle name="Normal 2 2 2 3 2 2 3" xfId="22952"/>
    <cellStyle name="Normal 2 2 2 3 2 2_Forecast" xfId="22953"/>
    <cellStyle name="Normal 2 2 2 3 2 3" xfId="22954"/>
    <cellStyle name="Normal 2 2 2 3 2 3 2" xfId="22955"/>
    <cellStyle name="Normal 2 2 2 3 2 3_Forecast" xfId="22956"/>
    <cellStyle name="Normal 2 2 2 3 2 4" xfId="22957"/>
    <cellStyle name="Normal 2 2 2 3 2 5" xfId="22958"/>
    <cellStyle name="Normal 2 2 2 3 2_Forecast" xfId="22959"/>
    <cellStyle name="Normal 2 2 2 3 3" xfId="8746"/>
    <cellStyle name="Normal 2 2 2 3 3 2" xfId="22960"/>
    <cellStyle name="Normal 2 2 2 3 3 2 2" xfId="22961"/>
    <cellStyle name="Normal 2 2 2 3 3 2_Forecast" xfId="22962"/>
    <cellStyle name="Normal 2 2 2 3 3 3" xfId="22963"/>
    <cellStyle name="Normal 2 2 2 3 3_Forecast" xfId="22964"/>
    <cellStyle name="Normal 2 2 2 3 4" xfId="12186"/>
    <cellStyle name="Normal 2 2 2 3 4 2" xfId="22965"/>
    <cellStyle name="Normal 2 2 2 3 4_Forecast" xfId="22966"/>
    <cellStyle name="Normal 2 2 2 3 5" xfId="22967"/>
    <cellStyle name="Normal 2 2 2 3 6" xfId="22968"/>
    <cellStyle name="Normal 2 2 2 3_Forecast" xfId="22969"/>
    <cellStyle name="Normal 2 2 2 4" xfId="8061"/>
    <cellStyle name="Normal 2 2 2 4 2" xfId="8682"/>
    <cellStyle name="Normal 2 2 2 4 2 2" xfId="9438"/>
    <cellStyle name="Normal 2 2 2 4 2 2 2" xfId="22970"/>
    <cellStyle name="Normal 2 2 2 4 2 2 2 2" xfId="22971"/>
    <cellStyle name="Normal 2 2 2 4 2 2 2_Forecast" xfId="22972"/>
    <cellStyle name="Normal 2 2 2 4 2 2 3" xfId="22973"/>
    <cellStyle name="Normal 2 2 2 4 2 2_Forecast" xfId="22974"/>
    <cellStyle name="Normal 2 2 2 4 2 3" xfId="22975"/>
    <cellStyle name="Normal 2 2 2 4 2 3 2" xfId="22976"/>
    <cellStyle name="Normal 2 2 2 4 2 3_Forecast" xfId="22977"/>
    <cellStyle name="Normal 2 2 2 4 2 4" xfId="22978"/>
    <cellStyle name="Normal 2 2 2 4 2 5" xfId="22979"/>
    <cellStyle name="Normal 2 2 2 4 2_Forecast" xfId="22980"/>
    <cellStyle name="Normal 2 2 2 4 3" xfId="8747"/>
    <cellStyle name="Normal 2 2 2 4 3 2" xfId="22981"/>
    <cellStyle name="Normal 2 2 2 4 3 2 2" xfId="22982"/>
    <cellStyle name="Normal 2 2 2 4 3 2_Forecast" xfId="22983"/>
    <cellStyle name="Normal 2 2 2 4 3 3" xfId="22984"/>
    <cellStyle name="Normal 2 2 2 4 3_Forecast" xfId="22985"/>
    <cellStyle name="Normal 2 2 2 4 4" xfId="12187"/>
    <cellStyle name="Normal 2 2 2 4 4 2" xfId="22986"/>
    <cellStyle name="Normal 2 2 2 4 4_Forecast" xfId="22987"/>
    <cellStyle name="Normal 2 2 2 4 5" xfId="22988"/>
    <cellStyle name="Normal 2 2 2 4 6" xfId="22989"/>
    <cellStyle name="Normal 2 2 2 4_Forecast" xfId="22990"/>
    <cellStyle name="Normal 2 2 2 5" xfId="8062"/>
    <cellStyle name="Normal 2 2 2 5 2" xfId="8683"/>
    <cellStyle name="Normal 2 2 2 5 2 2" xfId="9439"/>
    <cellStyle name="Normal 2 2 2 5 2 2 2" xfId="22991"/>
    <cellStyle name="Normal 2 2 2 5 2 2 2 2" xfId="22992"/>
    <cellStyle name="Normal 2 2 2 5 2 2 2_Forecast" xfId="22993"/>
    <cellStyle name="Normal 2 2 2 5 2 2 3" xfId="22994"/>
    <cellStyle name="Normal 2 2 2 5 2 2_Forecast" xfId="22995"/>
    <cellStyle name="Normal 2 2 2 5 2 3" xfId="22996"/>
    <cellStyle name="Normal 2 2 2 5 2 3 2" xfId="22997"/>
    <cellStyle name="Normal 2 2 2 5 2 3_Forecast" xfId="22998"/>
    <cellStyle name="Normal 2 2 2 5 2 4" xfId="22999"/>
    <cellStyle name="Normal 2 2 2 5 2 5" xfId="23000"/>
    <cellStyle name="Normal 2 2 2 5 2_Forecast" xfId="23001"/>
    <cellStyle name="Normal 2 2 2 5 3" xfId="8748"/>
    <cellStyle name="Normal 2 2 2 5 3 2" xfId="23002"/>
    <cellStyle name="Normal 2 2 2 5 3 2 2" xfId="23003"/>
    <cellStyle name="Normal 2 2 2 5 3 2_Forecast" xfId="23004"/>
    <cellStyle name="Normal 2 2 2 5 3 3" xfId="23005"/>
    <cellStyle name="Normal 2 2 2 5 3_Forecast" xfId="23006"/>
    <cellStyle name="Normal 2 2 2 5 4" xfId="12188"/>
    <cellStyle name="Normal 2 2 2 5 4 2" xfId="23007"/>
    <cellStyle name="Normal 2 2 2 5 4_Forecast" xfId="23008"/>
    <cellStyle name="Normal 2 2 2 5 5" xfId="23009"/>
    <cellStyle name="Normal 2 2 2 5 6" xfId="23010"/>
    <cellStyle name="Normal 2 2 2 5_Forecast" xfId="23011"/>
    <cellStyle name="Normal 2 2 2 6" xfId="8063"/>
    <cellStyle name="Normal 2 2 2 6 2" xfId="8684"/>
    <cellStyle name="Normal 2 2 2 6 2 2" xfId="9440"/>
    <cellStyle name="Normal 2 2 2 6 2 2 2" xfId="23012"/>
    <cellStyle name="Normal 2 2 2 6 2 2 2 2" xfId="23013"/>
    <cellStyle name="Normal 2 2 2 6 2 2 2_Forecast" xfId="23014"/>
    <cellStyle name="Normal 2 2 2 6 2 2 3" xfId="23015"/>
    <cellStyle name="Normal 2 2 2 6 2 2_Forecast" xfId="23016"/>
    <cellStyle name="Normal 2 2 2 6 2 3" xfId="23017"/>
    <cellStyle name="Normal 2 2 2 6 2 3 2" xfId="23018"/>
    <cellStyle name="Normal 2 2 2 6 2 3_Forecast" xfId="23019"/>
    <cellStyle name="Normal 2 2 2 6 2 4" xfId="23020"/>
    <cellStyle name="Normal 2 2 2 6 2 5" xfId="23021"/>
    <cellStyle name="Normal 2 2 2 6 2_Forecast" xfId="23022"/>
    <cellStyle name="Normal 2 2 2 6 3" xfId="8749"/>
    <cellStyle name="Normal 2 2 2 6 3 2" xfId="23023"/>
    <cellStyle name="Normal 2 2 2 6 3 2 2" xfId="23024"/>
    <cellStyle name="Normal 2 2 2 6 3 2_Forecast" xfId="23025"/>
    <cellStyle name="Normal 2 2 2 6 3 3" xfId="23026"/>
    <cellStyle name="Normal 2 2 2 6 3_Forecast" xfId="23027"/>
    <cellStyle name="Normal 2 2 2 6 4" xfId="12189"/>
    <cellStyle name="Normal 2 2 2 6 4 2" xfId="23028"/>
    <cellStyle name="Normal 2 2 2 6 4_Forecast" xfId="23029"/>
    <cellStyle name="Normal 2 2 2 6 5" xfId="23030"/>
    <cellStyle name="Normal 2 2 2 6 6" xfId="23031"/>
    <cellStyle name="Normal 2 2 2 6_Forecast" xfId="23032"/>
    <cellStyle name="Normal 2 2 2 7" xfId="8064"/>
    <cellStyle name="Normal 2 2 2 7 2" xfId="8685"/>
    <cellStyle name="Normal 2 2 2 7 2 2" xfId="9441"/>
    <cellStyle name="Normal 2 2 2 7 2 2 2" xfId="23033"/>
    <cellStyle name="Normal 2 2 2 7 2 2 2 2" xfId="23034"/>
    <cellStyle name="Normal 2 2 2 7 2 2 2_Forecast" xfId="23035"/>
    <cellStyle name="Normal 2 2 2 7 2 2 3" xfId="23036"/>
    <cellStyle name="Normal 2 2 2 7 2 2_Forecast" xfId="23037"/>
    <cellStyle name="Normal 2 2 2 7 2 3" xfId="23038"/>
    <cellStyle name="Normal 2 2 2 7 2 3 2" xfId="23039"/>
    <cellStyle name="Normal 2 2 2 7 2 3_Forecast" xfId="23040"/>
    <cellStyle name="Normal 2 2 2 7 2 4" xfId="23041"/>
    <cellStyle name="Normal 2 2 2 7 2 5" xfId="23042"/>
    <cellStyle name="Normal 2 2 2 7 2_Forecast" xfId="23043"/>
    <cellStyle name="Normal 2 2 2 7 3" xfId="8750"/>
    <cellStyle name="Normal 2 2 2 7 3 2" xfId="23044"/>
    <cellStyle name="Normal 2 2 2 7 3 2 2" xfId="23045"/>
    <cellStyle name="Normal 2 2 2 7 3 2_Forecast" xfId="23046"/>
    <cellStyle name="Normal 2 2 2 7 3 3" xfId="23047"/>
    <cellStyle name="Normal 2 2 2 7 3_Forecast" xfId="23048"/>
    <cellStyle name="Normal 2 2 2 7 4" xfId="12190"/>
    <cellStyle name="Normal 2 2 2 7 4 2" xfId="23049"/>
    <cellStyle name="Normal 2 2 2 7 4_Forecast" xfId="23050"/>
    <cellStyle name="Normal 2 2 2 7 5" xfId="23051"/>
    <cellStyle name="Normal 2 2 2 7 6" xfId="23052"/>
    <cellStyle name="Normal 2 2 2 7_Forecast" xfId="23053"/>
    <cellStyle name="Normal 2 2 2 8" xfId="20081"/>
    <cellStyle name="Normal 2 2 2_Forecast" xfId="23054"/>
    <cellStyle name="Normal 2 2 3" xfId="8051"/>
    <cellStyle name="Normal 2 2 3 10" xfId="23055"/>
    <cellStyle name="Normal 2 2 3 2" xfId="8065"/>
    <cellStyle name="Normal 2 2 3 3" xfId="8395"/>
    <cellStyle name="Normal 2 2 3 4" xfId="8506"/>
    <cellStyle name="Normal 2 2 3 5" xfId="8679"/>
    <cellStyle name="Normal 2 2 3 5 2" xfId="9435"/>
    <cellStyle name="Normal 2 2 3 5 2 2" xfId="23056"/>
    <cellStyle name="Normal 2 2 3 5 2 2 2" xfId="23057"/>
    <cellStyle name="Normal 2 2 3 5 2 2_Forecast" xfId="23058"/>
    <cellStyle name="Normal 2 2 3 5 2 3" xfId="23059"/>
    <cellStyle name="Normal 2 2 3 5 2_Forecast" xfId="23060"/>
    <cellStyle name="Normal 2 2 3 5 3" xfId="23061"/>
    <cellStyle name="Normal 2 2 3 5 3 2" xfId="23062"/>
    <cellStyle name="Normal 2 2 3 5 3_Forecast" xfId="23063"/>
    <cellStyle name="Normal 2 2 3 5 4" xfId="23064"/>
    <cellStyle name="Normal 2 2 3 5 5" xfId="23065"/>
    <cellStyle name="Normal 2 2 3 5_Forecast" xfId="23066"/>
    <cellStyle name="Normal 2 2 3 6" xfId="8744"/>
    <cellStyle name="Normal 2 2 3 6 2" xfId="23067"/>
    <cellStyle name="Normal 2 2 3 6 2 2" xfId="23068"/>
    <cellStyle name="Normal 2 2 3 6 2_Forecast" xfId="23069"/>
    <cellStyle name="Normal 2 2 3 6 3" xfId="23070"/>
    <cellStyle name="Normal 2 2 3 6_Forecast" xfId="23071"/>
    <cellStyle name="Normal 2 2 3 7" xfId="12184"/>
    <cellStyle name="Normal 2 2 3 7 2" xfId="23072"/>
    <cellStyle name="Normal 2 2 3 7_Forecast" xfId="23073"/>
    <cellStyle name="Normal 2 2 3 8" xfId="20082"/>
    <cellStyle name="Normal 2 2 3 9" xfId="23074"/>
    <cellStyle name="Normal 2 2 3_Forecast" xfId="23075"/>
    <cellStyle name="Normal 2 2 4" xfId="8066"/>
    <cellStyle name="Normal 2 2 4 2" xfId="20083"/>
    <cellStyle name="Normal 2 2 4_Note Calc" xfId="27510"/>
    <cellStyle name="Normal 2 2 5" xfId="8067"/>
    <cellStyle name="Normal 2 2 5 2" xfId="20084"/>
    <cellStyle name="Normal 2 2 5_Note Calc" xfId="27511"/>
    <cellStyle name="Normal 2 2 6" xfId="8068"/>
    <cellStyle name="Normal 2 2 6 2" xfId="20085"/>
    <cellStyle name="Normal 2 2 6_Note Calc" xfId="27512"/>
    <cellStyle name="Normal 2 2 7" xfId="8069"/>
    <cellStyle name="Normal 2 2 7 2" xfId="20086"/>
    <cellStyle name="Normal 2 2 7_Note Calc" xfId="27513"/>
    <cellStyle name="Normal 2 2 8" xfId="8070"/>
    <cellStyle name="Normal 2 2 8 2" xfId="20087"/>
    <cellStyle name="Normal 2 2 8_Note Calc" xfId="27514"/>
    <cellStyle name="Normal 2 2 9" xfId="8386"/>
    <cellStyle name="Normal 2 2 9 2" xfId="8695"/>
    <cellStyle name="Normal 2 2 9 2 2" xfId="9451"/>
    <cellStyle name="Normal 2 2 9 2 2 2" xfId="23076"/>
    <cellStyle name="Normal 2 2 9 2 2 2 2" xfId="23077"/>
    <cellStyle name="Normal 2 2 9 2 2 2_Forecast" xfId="23078"/>
    <cellStyle name="Normal 2 2 9 2 2 3" xfId="23079"/>
    <cellStyle name="Normal 2 2 9 2 2_Forecast" xfId="23080"/>
    <cellStyle name="Normal 2 2 9 2 3" xfId="23081"/>
    <cellStyle name="Normal 2 2 9 2 3 2" xfId="23082"/>
    <cellStyle name="Normal 2 2 9 2 3_Forecast" xfId="23083"/>
    <cellStyle name="Normal 2 2 9 2 4" xfId="23084"/>
    <cellStyle name="Normal 2 2 9 2 5" xfId="23085"/>
    <cellStyle name="Normal 2 2 9 2_Forecast" xfId="23086"/>
    <cellStyle name="Normal 2 2 9 3" xfId="8760"/>
    <cellStyle name="Normal 2 2 9 3 2" xfId="23087"/>
    <cellStyle name="Normal 2 2 9 3 2 2" xfId="23088"/>
    <cellStyle name="Normal 2 2 9 3 2_Forecast" xfId="23089"/>
    <cellStyle name="Normal 2 2 9 3 3" xfId="23090"/>
    <cellStyle name="Normal 2 2 9 3_Forecast" xfId="23091"/>
    <cellStyle name="Normal 2 2 9 4" xfId="12200"/>
    <cellStyle name="Normal 2 2 9 4 2" xfId="23092"/>
    <cellStyle name="Normal 2 2 9 4_Forecast" xfId="23093"/>
    <cellStyle name="Normal 2 2 9 5" xfId="20088"/>
    <cellStyle name="Normal 2 2 9 6" xfId="23094"/>
    <cellStyle name="Normal 2 2 9_Forecast" xfId="23095"/>
    <cellStyle name="Normal 2 2_Forecast" xfId="23096"/>
    <cellStyle name="Normal 2 20" xfId="2910"/>
    <cellStyle name="Normal 2 21" xfId="2911"/>
    <cellStyle name="Normal 2 22" xfId="2912"/>
    <cellStyle name="Normal 2 23" xfId="2913"/>
    <cellStyle name="Normal 2 24" xfId="2914"/>
    <cellStyle name="Normal 2 25" xfId="2915"/>
    <cellStyle name="Normal 2 26" xfId="2916"/>
    <cellStyle name="Normal 2 27" xfId="2917"/>
    <cellStyle name="Normal 2 28" xfId="2918"/>
    <cellStyle name="Normal 2 29" xfId="2919"/>
    <cellStyle name="Normal 2 3" xfId="2920"/>
    <cellStyle name="Normal 2 3 10" xfId="20089"/>
    <cellStyle name="Normal 2 3 2" xfId="2921"/>
    <cellStyle name="Normal 2 3 2 2" xfId="2922"/>
    <cellStyle name="Normal 2 3 2 2 2" xfId="2923"/>
    <cellStyle name="Normal 2 3 2 2 3" xfId="2924"/>
    <cellStyle name="Normal 2 3 2 2 4" xfId="2925"/>
    <cellStyle name="Normal 2 3 2 2 5" xfId="23097"/>
    <cellStyle name="Normal 2 3 2 2_Forecast" xfId="23098"/>
    <cellStyle name="Normal 2 3 2 3" xfId="2926"/>
    <cellStyle name="Normal 2 3 2 4" xfId="2927"/>
    <cellStyle name="Normal 2 3 2_Forecast" xfId="23099"/>
    <cellStyle name="Normal 2 3 3" xfId="2928"/>
    <cellStyle name="Normal 2 3 4" xfId="2929"/>
    <cellStyle name="Normal 2 3 5" xfId="2930"/>
    <cellStyle name="Normal 2 3 6" xfId="8071"/>
    <cellStyle name="Normal 2 3 6 2" xfId="8686"/>
    <cellStyle name="Normal 2 3 6 2 2" xfId="9442"/>
    <cellStyle name="Normal 2 3 6 2 2 2" xfId="23100"/>
    <cellStyle name="Normal 2 3 6 2 2 2 2" xfId="23101"/>
    <cellStyle name="Normal 2 3 6 2 2 2_Forecast" xfId="23102"/>
    <cellStyle name="Normal 2 3 6 2 2 3" xfId="23103"/>
    <cellStyle name="Normal 2 3 6 2 2_Forecast" xfId="23104"/>
    <cellStyle name="Normal 2 3 6 2 3" xfId="23105"/>
    <cellStyle name="Normal 2 3 6 2 3 2" xfId="23106"/>
    <cellStyle name="Normal 2 3 6 2 3_Forecast" xfId="23107"/>
    <cellStyle name="Normal 2 3 6 2 4" xfId="23108"/>
    <cellStyle name="Normal 2 3 6 2 5" xfId="23109"/>
    <cellStyle name="Normal 2 3 6 2_Forecast" xfId="23110"/>
    <cellStyle name="Normal 2 3 6 3" xfId="8751"/>
    <cellStyle name="Normal 2 3 6 3 2" xfId="23111"/>
    <cellStyle name="Normal 2 3 6 3 2 2" xfId="23112"/>
    <cellStyle name="Normal 2 3 6 3 2_Forecast" xfId="23113"/>
    <cellStyle name="Normal 2 3 6 3 3" xfId="23114"/>
    <cellStyle name="Normal 2 3 6 3_Forecast" xfId="23115"/>
    <cellStyle name="Normal 2 3 6 4" xfId="12191"/>
    <cellStyle name="Normal 2 3 6 4 2" xfId="23116"/>
    <cellStyle name="Normal 2 3 6 4_Forecast" xfId="23117"/>
    <cellStyle name="Normal 2 3 6 5" xfId="23118"/>
    <cellStyle name="Normal 2 3 6 6" xfId="23119"/>
    <cellStyle name="Normal 2 3 6_Forecast" xfId="23120"/>
    <cellStyle name="Normal 2 3 7" xfId="8396"/>
    <cellStyle name="Normal 2 3 7 2" xfId="8696"/>
    <cellStyle name="Normal 2 3 7 2 2" xfId="9452"/>
    <cellStyle name="Normal 2 3 7 2 2 2" xfId="23121"/>
    <cellStyle name="Normal 2 3 7 2 2 2 2" xfId="23122"/>
    <cellStyle name="Normal 2 3 7 2 2 2_Forecast" xfId="23123"/>
    <cellStyle name="Normal 2 3 7 2 2 3" xfId="23124"/>
    <cellStyle name="Normal 2 3 7 2 2_Forecast" xfId="23125"/>
    <cellStyle name="Normal 2 3 7 2 3" xfId="23126"/>
    <cellStyle name="Normal 2 3 7 2 3 2" xfId="23127"/>
    <cellStyle name="Normal 2 3 7 2 3_Forecast" xfId="23128"/>
    <cellStyle name="Normal 2 3 7 2 4" xfId="23129"/>
    <cellStyle name="Normal 2 3 7 2 5" xfId="23130"/>
    <cellStyle name="Normal 2 3 7 2_Forecast" xfId="23131"/>
    <cellStyle name="Normal 2 3 7 3" xfId="8761"/>
    <cellStyle name="Normal 2 3 7 3 2" xfId="23132"/>
    <cellStyle name="Normal 2 3 7 3 2 2" xfId="23133"/>
    <cellStyle name="Normal 2 3 7 3 2_Forecast" xfId="23134"/>
    <cellStyle name="Normal 2 3 7 3 3" xfId="23135"/>
    <cellStyle name="Normal 2 3 7 3_Forecast" xfId="23136"/>
    <cellStyle name="Normal 2 3 7 4" xfId="12201"/>
    <cellStyle name="Normal 2 3 7 4 2" xfId="23137"/>
    <cellStyle name="Normal 2 3 7 4_Forecast" xfId="23138"/>
    <cellStyle name="Normal 2 3 7 5" xfId="23139"/>
    <cellStyle name="Normal 2 3 7 6" xfId="23140"/>
    <cellStyle name="Normal 2 3 7_Forecast" xfId="23141"/>
    <cellStyle name="Normal 2 3 8" xfId="8507"/>
    <cellStyle name="Normal 2 3 8 2" xfId="8706"/>
    <cellStyle name="Normal 2 3 8 2 2" xfId="9462"/>
    <cellStyle name="Normal 2 3 8 2 2 2" xfId="23142"/>
    <cellStyle name="Normal 2 3 8 2 2 2 2" xfId="23143"/>
    <cellStyle name="Normal 2 3 8 2 2 2_Forecast" xfId="23144"/>
    <cellStyle name="Normal 2 3 8 2 2 3" xfId="23145"/>
    <cellStyle name="Normal 2 3 8 2 2_Forecast" xfId="23146"/>
    <cellStyle name="Normal 2 3 8 2 3" xfId="23147"/>
    <cellStyle name="Normal 2 3 8 2 3 2" xfId="23148"/>
    <cellStyle name="Normal 2 3 8 2 3_Forecast" xfId="23149"/>
    <cellStyle name="Normal 2 3 8 2 4" xfId="23150"/>
    <cellStyle name="Normal 2 3 8 2 5" xfId="23151"/>
    <cellStyle name="Normal 2 3 8 2_Forecast" xfId="23152"/>
    <cellStyle name="Normal 2 3 8 3" xfId="8771"/>
    <cellStyle name="Normal 2 3 8 3 2" xfId="23153"/>
    <cellStyle name="Normal 2 3 8 3 2 2" xfId="23154"/>
    <cellStyle name="Normal 2 3 8 3 2_Forecast" xfId="23155"/>
    <cellStyle name="Normal 2 3 8 3 3" xfId="23156"/>
    <cellStyle name="Normal 2 3 8 3_Forecast" xfId="23157"/>
    <cellStyle name="Normal 2 3 8 4" xfId="12211"/>
    <cellStyle name="Normal 2 3 8 4 2" xfId="23158"/>
    <cellStyle name="Normal 2 3 8 4_Forecast" xfId="23159"/>
    <cellStyle name="Normal 2 3 8 5" xfId="23160"/>
    <cellStyle name="Normal 2 3 8 6" xfId="23161"/>
    <cellStyle name="Normal 2 3 8_Forecast" xfId="23162"/>
    <cellStyle name="Normal 2 3 9" xfId="12138"/>
    <cellStyle name="Normal 2 3_Forecast" xfId="23163"/>
    <cellStyle name="Normal 2 30" xfId="2931"/>
    <cellStyle name="Normal 2 31" xfId="2932"/>
    <cellStyle name="Normal 2 32" xfId="8047"/>
    <cellStyle name="Normal 2 33" xfId="8382"/>
    <cellStyle name="Normal 2 34" xfId="8501"/>
    <cellStyle name="Normal 2 35" xfId="8582"/>
    <cellStyle name="Normal 2 35 2" xfId="11405"/>
    <cellStyle name="Normal 2 35 3" xfId="10092"/>
    <cellStyle name="Normal 2 35_Note Calc" xfId="27515"/>
    <cellStyle name="Normal 2 36" xfId="12136"/>
    <cellStyle name="Normal 2 37" xfId="12094"/>
    <cellStyle name="Normal 2 38" xfId="20078"/>
    <cellStyle name="Normal 2 39" xfId="21936"/>
    <cellStyle name="Normal 2 4" xfId="2933"/>
    <cellStyle name="Normal 2 4 2" xfId="8073"/>
    <cellStyle name="Normal 2 4 3" xfId="8397"/>
    <cellStyle name="Normal 2 4 4" xfId="8508"/>
    <cellStyle name="Normal 2 4 5" xfId="12139"/>
    <cellStyle name="Normal 2 4 6" xfId="20090"/>
    <cellStyle name="Normal 2 4_Forecast" xfId="23164"/>
    <cellStyle name="Normal 2 40" xfId="21928"/>
    <cellStyle name="Normal 2 41" xfId="27516"/>
    <cellStyle name="Normal 2 5" xfId="2934"/>
    <cellStyle name="Normal 2 5 2" xfId="8074"/>
    <cellStyle name="Normal 2 5 3" xfId="8398"/>
    <cellStyle name="Normal 2 5 4" xfId="8509"/>
    <cellStyle name="Normal 2 5 5" xfId="12140"/>
    <cellStyle name="Normal 2 5_Forecast" xfId="23165"/>
    <cellStyle name="Normal 2 6" xfId="2935"/>
    <cellStyle name="Normal 2 6 2" xfId="8075"/>
    <cellStyle name="Normal 2 6 3" xfId="8399"/>
    <cellStyle name="Normal 2 6 4" xfId="8510"/>
    <cellStyle name="Normal 2 6 5" xfId="12141"/>
    <cellStyle name="Normal 2 6_Forecast" xfId="23166"/>
    <cellStyle name="Normal 2 7" xfId="2936"/>
    <cellStyle name="Normal 2 7 2" xfId="8076"/>
    <cellStyle name="Normal 2 7 2 2" xfId="8687"/>
    <cellStyle name="Normal 2 7 2 2 2" xfId="9443"/>
    <cellStyle name="Normal 2 7 2 2 2 2" xfId="23167"/>
    <cellStyle name="Normal 2 7 2 2 2 2 2" xfId="23168"/>
    <cellStyle name="Normal 2 7 2 2 2 2_Forecast" xfId="23169"/>
    <cellStyle name="Normal 2 7 2 2 2 3" xfId="23170"/>
    <cellStyle name="Normal 2 7 2 2 2_Forecast" xfId="23171"/>
    <cellStyle name="Normal 2 7 2 2 3" xfId="23172"/>
    <cellStyle name="Normal 2 7 2 2 3 2" xfId="23173"/>
    <cellStyle name="Normal 2 7 2 2 3_Forecast" xfId="23174"/>
    <cellStyle name="Normal 2 7 2 2 4" xfId="23175"/>
    <cellStyle name="Normal 2 7 2 2 5" xfId="23176"/>
    <cellStyle name="Normal 2 7 2 2_Forecast" xfId="23177"/>
    <cellStyle name="Normal 2 7 2 3" xfId="8752"/>
    <cellStyle name="Normal 2 7 2 3 2" xfId="23178"/>
    <cellStyle name="Normal 2 7 2 3 2 2" xfId="23179"/>
    <cellStyle name="Normal 2 7 2 3 2_Forecast" xfId="23180"/>
    <cellStyle name="Normal 2 7 2 3 3" xfId="23181"/>
    <cellStyle name="Normal 2 7 2 3_Forecast" xfId="23182"/>
    <cellStyle name="Normal 2 7 2 4" xfId="12192"/>
    <cellStyle name="Normal 2 7 2 4 2" xfId="23183"/>
    <cellStyle name="Normal 2 7 2 4_Forecast" xfId="23184"/>
    <cellStyle name="Normal 2 7 2 5" xfId="23185"/>
    <cellStyle name="Normal 2 7 2 6" xfId="23186"/>
    <cellStyle name="Normal 2 7 2_Forecast" xfId="23187"/>
    <cellStyle name="Normal 2 7 3" xfId="8400"/>
    <cellStyle name="Normal 2 7 3 2" xfId="8697"/>
    <cellStyle name="Normal 2 7 3 2 2" xfId="9453"/>
    <cellStyle name="Normal 2 7 3 2 2 2" xfId="23188"/>
    <cellStyle name="Normal 2 7 3 2 2 2 2" xfId="23189"/>
    <cellStyle name="Normal 2 7 3 2 2 2_Forecast" xfId="23190"/>
    <cellStyle name="Normal 2 7 3 2 2 3" xfId="23191"/>
    <cellStyle name="Normal 2 7 3 2 2_Forecast" xfId="23192"/>
    <cellStyle name="Normal 2 7 3 2 3" xfId="23193"/>
    <cellStyle name="Normal 2 7 3 2 3 2" xfId="23194"/>
    <cellStyle name="Normal 2 7 3 2 3_Forecast" xfId="23195"/>
    <cellStyle name="Normal 2 7 3 2 4" xfId="23196"/>
    <cellStyle name="Normal 2 7 3 2 5" xfId="23197"/>
    <cellStyle name="Normal 2 7 3 2_Forecast" xfId="23198"/>
    <cellStyle name="Normal 2 7 3 3" xfId="8762"/>
    <cellStyle name="Normal 2 7 3 3 2" xfId="23199"/>
    <cellStyle name="Normal 2 7 3 3 2 2" xfId="23200"/>
    <cellStyle name="Normal 2 7 3 3 2_Forecast" xfId="23201"/>
    <cellStyle name="Normal 2 7 3 3 3" xfId="23202"/>
    <cellStyle name="Normal 2 7 3 3_Forecast" xfId="23203"/>
    <cellStyle name="Normal 2 7 3 4" xfId="12202"/>
    <cellStyle name="Normal 2 7 3 4 2" xfId="23204"/>
    <cellStyle name="Normal 2 7 3 4_Forecast" xfId="23205"/>
    <cellStyle name="Normal 2 7 3 5" xfId="23206"/>
    <cellStyle name="Normal 2 7 3 6" xfId="23207"/>
    <cellStyle name="Normal 2 7 3_Forecast" xfId="23208"/>
    <cellStyle name="Normal 2 7 4" xfId="8511"/>
    <cellStyle name="Normal 2 7 4 2" xfId="8707"/>
    <cellStyle name="Normal 2 7 4 2 2" xfId="9463"/>
    <cellStyle name="Normal 2 7 4 2 2 2" xfId="23209"/>
    <cellStyle name="Normal 2 7 4 2 2 2 2" xfId="23210"/>
    <cellStyle name="Normal 2 7 4 2 2 2_Forecast" xfId="23211"/>
    <cellStyle name="Normal 2 7 4 2 2 3" xfId="23212"/>
    <cellStyle name="Normal 2 7 4 2 2_Forecast" xfId="23213"/>
    <cellStyle name="Normal 2 7 4 2 3" xfId="23214"/>
    <cellStyle name="Normal 2 7 4 2 3 2" xfId="23215"/>
    <cellStyle name="Normal 2 7 4 2 3_Forecast" xfId="23216"/>
    <cellStyle name="Normal 2 7 4 2 4" xfId="23217"/>
    <cellStyle name="Normal 2 7 4 2 5" xfId="23218"/>
    <cellStyle name="Normal 2 7 4 2_Forecast" xfId="23219"/>
    <cellStyle name="Normal 2 7 4 3" xfId="8772"/>
    <cellStyle name="Normal 2 7 4 3 2" xfId="23220"/>
    <cellStyle name="Normal 2 7 4 3 2 2" xfId="23221"/>
    <cellStyle name="Normal 2 7 4 3 2_Forecast" xfId="23222"/>
    <cellStyle name="Normal 2 7 4 3 3" xfId="23223"/>
    <cellStyle name="Normal 2 7 4 3_Forecast" xfId="23224"/>
    <cellStyle name="Normal 2 7 4 4" xfId="12212"/>
    <cellStyle name="Normal 2 7 4 4 2" xfId="23225"/>
    <cellStyle name="Normal 2 7 4 4_Forecast" xfId="23226"/>
    <cellStyle name="Normal 2 7 4 5" xfId="23227"/>
    <cellStyle name="Normal 2 7 4 6" xfId="23228"/>
    <cellStyle name="Normal 2 7 4_Forecast" xfId="23229"/>
    <cellStyle name="Normal 2 7 5" xfId="20091"/>
    <cellStyle name="Normal 2 7_Forecast" xfId="23230"/>
    <cellStyle name="Normal 2 8" xfId="2937"/>
    <cellStyle name="Normal 2 8 2" xfId="8077"/>
    <cellStyle name="Normal 2 8 2 2" xfId="8688"/>
    <cellStyle name="Normal 2 8 2 2 2" xfId="9444"/>
    <cellStyle name="Normal 2 8 2 2 2 2" xfId="23231"/>
    <cellStyle name="Normal 2 8 2 2 2 2 2" xfId="23232"/>
    <cellStyle name="Normal 2 8 2 2 2 2_Forecast" xfId="23233"/>
    <cellStyle name="Normal 2 8 2 2 2 3" xfId="23234"/>
    <cellStyle name="Normal 2 8 2 2 2_Forecast" xfId="23235"/>
    <cellStyle name="Normal 2 8 2 2 3" xfId="23236"/>
    <cellStyle name="Normal 2 8 2 2 3 2" xfId="23237"/>
    <cellStyle name="Normal 2 8 2 2 3_Forecast" xfId="23238"/>
    <cellStyle name="Normal 2 8 2 2 4" xfId="23239"/>
    <cellStyle name="Normal 2 8 2 2 5" xfId="23240"/>
    <cellStyle name="Normal 2 8 2 2_Forecast" xfId="23241"/>
    <cellStyle name="Normal 2 8 2 3" xfId="8753"/>
    <cellStyle name="Normal 2 8 2 3 2" xfId="23242"/>
    <cellStyle name="Normal 2 8 2 3 2 2" xfId="23243"/>
    <cellStyle name="Normal 2 8 2 3 2_Forecast" xfId="23244"/>
    <cellStyle name="Normal 2 8 2 3 3" xfId="23245"/>
    <cellStyle name="Normal 2 8 2 3_Forecast" xfId="23246"/>
    <cellStyle name="Normal 2 8 2 4" xfId="12193"/>
    <cellStyle name="Normal 2 8 2 4 2" xfId="23247"/>
    <cellStyle name="Normal 2 8 2 4_Forecast" xfId="23248"/>
    <cellStyle name="Normal 2 8 2 5" xfId="23249"/>
    <cellStyle name="Normal 2 8 2 6" xfId="23250"/>
    <cellStyle name="Normal 2 8 2_Forecast" xfId="23251"/>
    <cellStyle name="Normal 2 8 3" xfId="8401"/>
    <cellStyle name="Normal 2 8 3 2" xfId="8698"/>
    <cellStyle name="Normal 2 8 3 2 2" xfId="9454"/>
    <cellStyle name="Normal 2 8 3 2 2 2" xfId="23252"/>
    <cellStyle name="Normal 2 8 3 2 2 2 2" xfId="23253"/>
    <cellStyle name="Normal 2 8 3 2 2 2_Forecast" xfId="23254"/>
    <cellStyle name="Normal 2 8 3 2 2 3" xfId="23255"/>
    <cellStyle name="Normal 2 8 3 2 2_Forecast" xfId="23256"/>
    <cellStyle name="Normal 2 8 3 2 3" xfId="23257"/>
    <cellStyle name="Normal 2 8 3 2 3 2" xfId="23258"/>
    <cellStyle name="Normal 2 8 3 2 3_Forecast" xfId="23259"/>
    <cellStyle name="Normal 2 8 3 2 4" xfId="23260"/>
    <cellStyle name="Normal 2 8 3 2 5" xfId="23261"/>
    <cellStyle name="Normal 2 8 3 2_Forecast" xfId="23262"/>
    <cellStyle name="Normal 2 8 3 3" xfId="8763"/>
    <cellStyle name="Normal 2 8 3 3 2" xfId="23263"/>
    <cellStyle name="Normal 2 8 3 3 2 2" xfId="23264"/>
    <cellStyle name="Normal 2 8 3 3 2_Forecast" xfId="23265"/>
    <cellStyle name="Normal 2 8 3 3 3" xfId="23266"/>
    <cellStyle name="Normal 2 8 3 3_Forecast" xfId="23267"/>
    <cellStyle name="Normal 2 8 3 4" xfId="12203"/>
    <cellStyle name="Normal 2 8 3 4 2" xfId="23268"/>
    <cellStyle name="Normal 2 8 3 4_Forecast" xfId="23269"/>
    <cellStyle name="Normal 2 8 3 5" xfId="23270"/>
    <cellStyle name="Normal 2 8 3 6" xfId="23271"/>
    <cellStyle name="Normal 2 8 3_Forecast" xfId="23272"/>
    <cellStyle name="Normal 2 8 4" xfId="8512"/>
    <cellStyle name="Normal 2 8 4 2" xfId="8708"/>
    <cellStyle name="Normal 2 8 4 2 2" xfId="9464"/>
    <cellStyle name="Normal 2 8 4 2 2 2" xfId="23273"/>
    <cellStyle name="Normal 2 8 4 2 2 2 2" xfId="23274"/>
    <cellStyle name="Normal 2 8 4 2 2 2_Forecast" xfId="23275"/>
    <cellStyle name="Normal 2 8 4 2 2 3" xfId="23276"/>
    <cellStyle name="Normal 2 8 4 2 2_Forecast" xfId="23277"/>
    <cellStyle name="Normal 2 8 4 2 3" xfId="23278"/>
    <cellStyle name="Normal 2 8 4 2 3 2" xfId="23279"/>
    <cellStyle name="Normal 2 8 4 2 3_Forecast" xfId="23280"/>
    <cellStyle name="Normal 2 8 4 2 4" xfId="23281"/>
    <cellStyle name="Normal 2 8 4 2 5" xfId="23282"/>
    <cellStyle name="Normal 2 8 4 2_Forecast" xfId="23283"/>
    <cellStyle name="Normal 2 8 4 3" xfId="8773"/>
    <cellStyle name="Normal 2 8 4 3 2" xfId="23284"/>
    <cellStyle name="Normal 2 8 4 3 2 2" xfId="23285"/>
    <cellStyle name="Normal 2 8 4 3 2_Forecast" xfId="23286"/>
    <cellStyle name="Normal 2 8 4 3 3" xfId="23287"/>
    <cellStyle name="Normal 2 8 4 3_Forecast" xfId="23288"/>
    <cellStyle name="Normal 2 8 4 4" xfId="12213"/>
    <cellStyle name="Normal 2 8 4 4 2" xfId="23289"/>
    <cellStyle name="Normal 2 8 4 4_Forecast" xfId="23290"/>
    <cellStyle name="Normal 2 8 4 5" xfId="23291"/>
    <cellStyle name="Normal 2 8 4 6" xfId="23292"/>
    <cellStyle name="Normal 2 8 4_Forecast" xfId="23293"/>
    <cellStyle name="Normal 2 8 5" xfId="20092"/>
    <cellStyle name="Normal 2 8_Forecast" xfId="23294"/>
    <cellStyle name="Normal 2 9" xfId="2938"/>
    <cellStyle name="Normal 2 9 2" xfId="8078"/>
    <cellStyle name="Normal 2 9 2 2" xfId="8689"/>
    <cellStyle name="Normal 2 9 2 2 2" xfId="9445"/>
    <cellStyle name="Normal 2 9 2 2 2 2" xfId="23295"/>
    <cellStyle name="Normal 2 9 2 2 2 2 2" xfId="23296"/>
    <cellStyle name="Normal 2 9 2 2 2 2_Forecast" xfId="23297"/>
    <cellStyle name="Normal 2 9 2 2 2 3" xfId="23298"/>
    <cellStyle name="Normal 2 9 2 2 2_Forecast" xfId="23299"/>
    <cellStyle name="Normal 2 9 2 2 3" xfId="23300"/>
    <cellStyle name="Normal 2 9 2 2 3 2" xfId="23301"/>
    <cellStyle name="Normal 2 9 2 2 3_Forecast" xfId="23302"/>
    <cellStyle name="Normal 2 9 2 2 4" xfId="23303"/>
    <cellStyle name="Normal 2 9 2 2 5" xfId="23304"/>
    <cellStyle name="Normal 2 9 2 2_Forecast" xfId="23305"/>
    <cellStyle name="Normal 2 9 2 3" xfId="8754"/>
    <cellStyle name="Normal 2 9 2 3 2" xfId="23306"/>
    <cellStyle name="Normal 2 9 2 3 2 2" xfId="23307"/>
    <cellStyle name="Normal 2 9 2 3 2_Forecast" xfId="23308"/>
    <cellStyle name="Normal 2 9 2 3 3" xfId="23309"/>
    <cellStyle name="Normal 2 9 2 3_Forecast" xfId="23310"/>
    <cellStyle name="Normal 2 9 2 4" xfId="12194"/>
    <cellStyle name="Normal 2 9 2 4 2" xfId="23311"/>
    <cellStyle name="Normal 2 9 2 4_Forecast" xfId="23312"/>
    <cellStyle name="Normal 2 9 2 5" xfId="23313"/>
    <cellStyle name="Normal 2 9 2 6" xfId="23314"/>
    <cellStyle name="Normal 2 9 2_Forecast" xfId="23315"/>
    <cellStyle name="Normal 2 9 3" xfId="8402"/>
    <cellStyle name="Normal 2 9 3 2" xfId="8699"/>
    <cellStyle name="Normal 2 9 3 2 2" xfId="9455"/>
    <cellStyle name="Normal 2 9 3 2 2 2" xfId="23316"/>
    <cellStyle name="Normal 2 9 3 2 2 2 2" xfId="23317"/>
    <cellStyle name="Normal 2 9 3 2 2 2_Forecast" xfId="23318"/>
    <cellStyle name="Normal 2 9 3 2 2 3" xfId="23319"/>
    <cellStyle name="Normal 2 9 3 2 2_Forecast" xfId="23320"/>
    <cellStyle name="Normal 2 9 3 2 3" xfId="23321"/>
    <cellStyle name="Normal 2 9 3 2 3 2" xfId="23322"/>
    <cellStyle name="Normal 2 9 3 2 3_Forecast" xfId="23323"/>
    <cellStyle name="Normal 2 9 3 2 4" xfId="23324"/>
    <cellStyle name="Normal 2 9 3 2 5" xfId="23325"/>
    <cellStyle name="Normal 2 9 3 2_Forecast" xfId="23326"/>
    <cellStyle name="Normal 2 9 3 3" xfId="8764"/>
    <cellStyle name="Normal 2 9 3 3 2" xfId="23327"/>
    <cellStyle name="Normal 2 9 3 3 2 2" xfId="23328"/>
    <cellStyle name="Normal 2 9 3 3 2_Forecast" xfId="23329"/>
    <cellStyle name="Normal 2 9 3 3 3" xfId="23330"/>
    <cellStyle name="Normal 2 9 3 3_Forecast" xfId="23331"/>
    <cellStyle name="Normal 2 9 3 4" xfId="12204"/>
    <cellStyle name="Normal 2 9 3 4 2" xfId="23332"/>
    <cellStyle name="Normal 2 9 3 4_Forecast" xfId="23333"/>
    <cellStyle name="Normal 2 9 3 5" xfId="23334"/>
    <cellStyle name="Normal 2 9 3 6" xfId="23335"/>
    <cellStyle name="Normal 2 9 3_Forecast" xfId="23336"/>
    <cellStyle name="Normal 2 9 4" xfId="8513"/>
    <cellStyle name="Normal 2 9 4 2" xfId="8709"/>
    <cellStyle name="Normal 2 9 4 2 2" xfId="9465"/>
    <cellStyle name="Normal 2 9 4 2 2 2" xfId="23337"/>
    <cellStyle name="Normal 2 9 4 2 2 2 2" xfId="23338"/>
    <cellStyle name="Normal 2 9 4 2 2 2_Forecast" xfId="23339"/>
    <cellStyle name="Normal 2 9 4 2 2 3" xfId="23340"/>
    <cellStyle name="Normal 2 9 4 2 2_Forecast" xfId="23341"/>
    <cellStyle name="Normal 2 9 4 2 3" xfId="23342"/>
    <cellStyle name="Normal 2 9 4 2 3 2" xfId="23343"/>
    <cellStyle name="Normal 2 9 4 2 3_Forecast" xfId="23344"/>
    <cellStyle name="Normal 2 9 4 2 4" xfId="23345"/>
    <cellStyle name="Normal 2 9 4 2 5" xfId="23346"/>
    <cellStyle name="Normal 2 9 4 2_Forecast" xfId="23347"/>
    <cellStyle name="Normal 2 9 4 3" xfId="8774"/>
    <cellStyle name="Normal 2 9 4 3 2" xfId="23348"/>
    <cellStyle name="Normal 2 9 4 3 2 2" xfId="23349"/>
    <cellStyle name="Normal 2 9 4 3 2_Forecast" xfId="23350"/>
    <cellStyle name="Normal 2 9 4 3 3" xfId="23351"/>
    <cellStyle name="Normal 2 9 4 3_Forecast" xfId="23352"/>
    <cellStyle name="Normal 2 9 4 4" xfId="12214"/>
    <cellStyle name="Normal 2 9 4 4 2" xfId="23353"/>
    <cellStyle name="Normal 2 9 4 4_Forecast" xfId="23354"/>
    <cellStyle name="Normal 2 9 4 5" xfId="23355"/>
    <cellStyle name="Normal 2 9 4 6" xfId="23356"/>
    <cellStyle name="Normal 2 9 4_Forecast" xfId="23357"/>
    <cellStyle name="Normal 2 9 5" xfId="20093"/>
    <cellStyle name="Normal 2 9_Forecast" xfId="23358"/>
    <cellStyle name="Normal 2_Forecast" xfId="23359"/>
    <cellStyle name="Normal 20" xfId="2939"/>
    <cellStyle name="Normal 20 10" xfId="2940"/>
    <cellStyle name="Normal 20 11" xfId="2941"/>
    <cellStyle name="Normal 20 12" xfId="2942"/>
    <cellStyle name="Normal 20 13" xfId="2943"/>
    <cellStyle name="Normal 20 14" xfId="20094"/>
    <cellStyle name="Normal 20 2" xfId="2944"/>
    <cellStyle name="Normal 20 3" xfId="2945"/>
    <cellStyle name="Normal 20 4" xfId="2946"/>
    <cellStyle name="Normal 20 5" xfId="2947"/>
    <cellStyle name="Normal 20 6" xfId="2948"/>
    <cellStyle name="Normal 20 7" xfId="2949"/>
    <cellStyle name="Normal 20 8" xfId="2950"/>
    <cellStyle name="Normal 20 9" xfId="2951"/>
    <cellStyle name="Normal 20_Forecast" xfId="23360"/>
    <cellStyle name="Normal 21" xfId="2952"/>
    <cellStyle name="Normal 21 2" xfId="2953"/>
    <cellStyle name="Normal 21 3" xfId="2954"/>
    <cellStyle name="Normal 21 4" xfId="2955"/>
    <cellStyle name="Normal 21 5" xfId="20095"/>
    <cellStyle name="Normal 21_Forecast" xfId="23361"/>
    <cellStyle name="Normal 22" xfId="2956"/>
    <cellStyle name="Normal 22 2" xfId="20096"/>
    <cellStyle name="Normal 22_Note Calc" xfId="27517"/>
    <cellStyle name="Normal 23" xfId="2957"/>
    <cellStyle name="Normal 23 10" xfId="2958"/>
    <cellStyle name="Normal 23 10 2" xfId="8609"/>
    <cellStyle name="Normal 23 10 2 2" xfId="11428"/>
    <cellStyle name="Normal 23 10 2 3" xfId="10115"/>
    <cellStyle name="Normal 23 10 2_Note Calc" xfId="27518"/>
    <cellStyle name="Normal 23 10 3" xfId="8810"/>
    <cellStyle name="Normal 23 10 3 2" xfId="11502"/>
    <cellStyle name="Normal 23 10 3 3" xfId="10189"/>
    <cellStyle name="Normal 23 10 3_Note Calc" xfId="27519"/>
    <cellStyle name="Normal 23 10 4" xfId="10814"/>
    <cellStyle name="Normal 23 10 5" xfId="9501"/>
    <cellStyle name="Normal 23 10_Forecast" xfId="23362"/>
    <cellStyle name="Normal 23 11" xfId="2959"/>
    <cellStyle name="Normal 23 11 2" xfId="8610"/>
    <cellStyle name="Normal 23 11 2 2" xfId="11429"/>
    <cellStyle name="Normal 23 11 2 3" xfId="10116"/>
    <cellStyle name="Normal 23 11 2_Note Calc" xfId="27520"/>
    <cellStyle name="Normal 23 11 3" xfId="8811"/>
    <cellStyle name="Normal 23 11 3 2" xfId="11503"/>
    <cellStyle name="Normal 23 11 3 3" xfId="10190"/>
    <cellStyle name="Normal 23 11 3_Note Calc" xfId="27521"/>
    <cellStyle name="Normal 23 11 4" xfId="10815"/>
    <cellStyle name="Normal 23 11 5" xfId="9502"/>
    <cellStyle name="Normal 23 11_Forecast" xfId="23363"/>
    <cellStyle name="Normal 23 12" xfId="2960"/>
    <cellStyle name="Normal 23 12 2" xfId="8611"/>
    <cellStyle name="Normal 23 12 2 2" xfId="11430"/>
    <cellStyle name="Normal 23 12 2 3" xfId="10117"/>
    <cellStyle name="Normal 23 12 2_Note Calc" xfId="27522"/>
    <cellStyle name="Normal 23 12 3" xfId="8812"/>
    <cellStyle name="Normal 23 12 3 2" xfId="11504"/>
    <cellStyle name="Normal 23 12 3 3" xfId="10191"/>
    <cellStyle name="Normal 23 12 3_Note Calc" xfId="27523"/>
    <cellStyle name="Normal 23 12 4" xfId="10816"/>
    <cellStyle name="Normal 23 12 5" xfId="9503"/>
    <cellStyle name="Normal 23 12_Forecast" xfId="23364"/>
    <cellStyle name="Normal 23 13" xfId="2961"/>
    <cellStyle name="Normal 23 13 2" xfId="8612"/>
    <cellStyle name="Normal 23 13 2 2" xfId="11431"/>
    <cellStyle name="Normal 23 13 2 3" xfId="10118"/>
    <cellStyle name="Normal 23 13 2_Note Calc" xfId="27524"/>
    <cellStyle name="Normal 23 13 3" xfId="8813"/>
    <cellStyle name="Normal 23 13 3 2" xfId="11505"/>
    <cellStyle name="Normal 23 13 3 3" xfId="10192"/>
    <cellStyle name="Normal 23 13 3_Note Calc" xfId="27525"/>
    <cellStyle name="Normal 23 13 4" xfId="10817"/>
    <cellStyle name="Normal 23 13 5" xfId="9504"/>
    <cellStyle name="Normal 23 13_Forecast" xfId="23365"/>
    <cellStyle name="Normal 23 14" xfId="2962"/>
    <cellStyle name="Normal 23 15" xfId="2963"/>
    <cellStyle name="Normal 23 16" xfId="2964"/>
    <cellStyle name="Normal 23 17" xfId="2965"/>
    <cellStyle name="Normal 23 18" xfId="2966"/>
    <cellStyle name="Normal 23 19" xfId="2967"/>
    <cellStyle name="Normal 23 2" xfId="2968"/>
    <cellStyle name="Normal 23 2 2" xfId="8613"/>
    <cellStyle name="Normal 23 2 2 2" xfId="11432"/>
    <cellStyle name="Normal 23 2 2 3" xfId="10119"/>
    <cellStyle name="Normal 23 2 2_Note Calc" xfId="27526"/>
    <cellStyle name="Normal 23 2 3" xfId="8814"/>
    <cellStyle name="Normal 23 2 3 2" xfId="11506"/>
    <cellStyle name="Normal 23 2 3 3" xfId="10193"/>
    <cellStyle name="Normal 23 2 3_Note Calc" xfId="27527"/>
    <cellStyle name="Normal 23 2 4" xfId="10818"/>
    <cellStyle name="Normal 23 2 5" xfId="9505"/>
    <cellStyle name="Normal 23 2_Forecast" xfId="23366"/>
    <cellStyle name="Normal 23 20" xfId="2969"/>
    <cellStyle name="Normal 23 21" xfId="2970"/>
    <cellStyle name="Normal 23 22" xfId="2971"/>
    <cellStyle name="Normal 23 23" xfId="2972"/>
    <cellStyle name="Normal 23 24" xfId="2973"/>
    <cellStyle name="Normal 23 25" xfId="2974"/>
    <cellStyle name="Normal 23 26" xfId="2975"/>
    <cellStyle name="Normal 23 27" xfId="2976"/>
    <cellStyle name="Normal 23 28" xfId="2977"/>
    <cellStyle name="Normal 23 29" xfId="2978"/>
    <cellStyle name="Normal 23 3" xfId="2979"/>
    <cellStyle name="Normal 23 3 2" xfId="8614"/>
    <cellStyle name="Normal 23 3 2 2" xfId="11433"/>
    <cellStyle name="Normal 23 3 2 3" xfId="10120"/>
    <cellStyle name="Normal 23 3 2_Note Calc" xfId="27528"/>
    <cellStyle name="Normal 23 3 3" xfId="8815"/>
    <cellStyle name="Normal 23 3 3 2" xfId="11507"/>
    <cellStyle name="Normal 23 3 3 3" xfId="10194"/>
    <cellStyle name="Normal 23 3 3_Note Calc" xfId="27529"/>
    <cellStyle name="Normal 23 3 4" xfId="10819"/>
    <cellStyle name="Normal 23 3 5" xfId="9506"/>
    <cellStyle name="Normal 23 3_Forecast" xfId="23367"/>
    <cellStyle name="Normal 23 30" xfId="2980"/>
    <cellStyle name="Normal 23 31" xfId="2981"/>
    <cellStyle name="Normal 23 32" xfId="2982"/>
    <cellStyle name="Normal 23 33" xfId="2983"/>
    <cellStyle name="Normal 23 34" xfId="2984"/>
    <cellStyle name="Normal 23 35" xfId="2985"/>
    <cellStyle name="Normal 23 36" xfId="2986"/>
    <cellStyle name="Normal 23 37" xfId="2987"/>
    <cellStyle name="Normal 23 38" xfId="2988"/>
    <cellStyle name="Normal 23 39" xfId="2989"/>
    <cellStyle name="Normal 23 4" xfId="2990"/>
    <cellStyle name="Normal 23 4 2" xfId="8615"/>
    <cellStyle name="Normal 23 4 2 2" xfId="11434"/>
    <cellStyle name="Normal 23 4 2 3" xfId="10121"/>
    <cellStyle name="Normal 23 4 2_Note Calc" xfId="27530"/>
    <cellStyle name="Normal 23 4 3" xfId="8816"/>
    <cellStyle name="Normal 23 4 3 2" xfId="11508"/>
    <cellStyle name="Normal 23 4 3 3" xfId="10195"/>
    <cellStyle name="Normal 23 4 3_Note Calc" xfId="27531"/>
    <cellStyle name="Normal 23 4 4" xfId="10820"/>
    <cellStyle name="Normal 23 4 5" xfId="9507"/>
    <cellStyle name="Normal 23 4_Forecast" xfId="23368"/>
    <cellStyle name="Normal 23 40" xfId="20097"/>
    <cellStyle name="Normal 23 5" xfId="2991"/>
    <cellStyle name="Normal 23 5 2" xfId="8616"/>
    <cellStyle name="Normal 23 5 2 2" xfId="11435"/>
    <cellStyle name="Normal 23 5 2 3" xfId="10122"/>
    <cellStyle name="Normal 23 5 2_Note Calc" xfId="27532"/>
    <cellStyle name="Normal 23 5 3" xfId="8817"/>
    <cellStyle name="Normal 23 5 3 2" xfId="11509"/>
    <cellStyle name="Normal 23 5 3 3" xfId="10196"/>
    <cellStyle name="Normal 23 5 3_Note Calc" xfId="27533"/>
    <cellStyle name="Normal 23 5 4" xfId="10821"/>
    <cellStyle name="Normal 23 5 5" xfId="9508"/>
    <cellStyle name="Normal 23 5_Forecast" xfId="23369"/>
    <cellStyle name="Normal 23 6" xfId="2992"/>
    <cellStyle name="Normal 23 6 2" xfId="8617"/>
    <cellStyle name="Normal 23 6 2 2" xfId="11436"/>
    <cellStyle name="Normal 23 6 2 3" xfId="10123"/>
    <cellStyle name="Normal 23 6 2_Note Calc" xfId="27534"/>
    <cellStyle name="Normal 23 6 3" xfId="8818"/>
    <cellStyle name="Normal 23 6 3 2" xfId="11510"/>
    <cellStyle name="Normal 23 6 3 3" xfId="10197"/>
    <cellStyle name="Normal 23 6 3_Note Calc" xfId="27535"/>
    <cellStyle name="Normal 23 6 4" xfId="10822"/>
    <cellStyle name="Normal 23 6 5" xfId="9509"/>
    <cellStyle name="Normal 23 6_Forecast" xfId="23370"/>
    <cellStyle name="Normal 23 7" xfId="2993"/>
    <cellStyle name="Normal 23 7 2" xfId="8618"/>
    <cellStyle name="Normal 23 7 2 2" xfId="11437"/>
    <cellStyle name="Normal 23 7 2 3" xfId="10124"/>
    <cellStyle name="Normal 23 7 2_Note Calc" xfId="27536"/>
    <cellStyle name="Normal 23 7 3" xfId="8819"/>
    <cellStyle name="Normal 23 7 3 2" xfId="11511"/>
    <cellStyle name="Normal 23 7 3 3" xfId="10198"/>
    <cellStyle name="Normal 23 7 3_Note Calc" xfId="27537"/>
    <cellStyle name="Normal 23 7 4" xfId="10823"/>
    <cellStyle name="Normal 23 7 5" xfId="9510"/>
    <cellStyle name="Normal 23 7_Forecast" xfId="23371"/>
    <cellStyle name="Normal 23 8" xfId="2994"/>
    <cellStyle name="Normal 23 8 2" xfId="8619"/>
    <cellStyle name="Normal 23 8 2 2" xfId="11438"/>
    <cellStyle name="Normal 23 8 2 3" xfId="10125"/>
    <cellStyle name="Normal 23 8 2_Note Calc" xfId="27538"/>
    <cellStyle name="Normal 23 8 3" xfId="8820"/>
    <cellStyle name="Normal 23 8 3 2" xfId="11512"/>
    <cellStyle name="Normal 23 8 3 3" xfId="10199"/>
    <cellStyle name="Normal 23 8 3_Note Calc" xfId="27539"/>
    <cellStyle name="Normal 23 8 4" xfId="10824"/>
    <cellStyle name="Normal 23 8 5" xfId="9511"/>
    <cellStyle name="Normal 23 8_Forecast" xfId="23372"/>
    <cellStyle name="Normal 23 9" xfId="2995"/>
    <cellStyle name="Normal 23 9 2" xfId="8620"/>
    <cellStyle name="Normal 23 9 2 2" xfId="11439"/>
    <cellStyle name="Normal 23 9 2 3" xfId="10126"/>
    <cellStyle name="Normal 23 9 2_Note Calc" xfId="27540"/>
    <cellStyle name="Normal 23 9 3" xfId="8821"/>
    <cellStyle name="Normal 23 9 3 2" xfId="11513"/>
    <cellStyle name="Normal 23 9 3 3" xfId="10200"/>
    <cellStyle name="Normal 23 9 3_Note Calc" xfId="27541"/>
    <cellStyle name="Normal 23 9 4" xfId="10825"/>
    <cellStyle name="Normal 23 9 5" xfId="9512"/>
    <cellStyle name="Normal 23 9_Forecast" xfId="23373"/>
    <cellStyle name="Normal 23_Forecast" xfId="23374"/>
    <cellStyle name="Normal 24" xfId="2996"/>
    <cellStyle name="Normal 24 10" xfId="2997"/>
    <cellStyle name="Normal 24 11" xfId="2998"/>
    <cellStyle name="Normal 24 12" xfId="2999"/>
    <cellStyle name="Normal 24 13" xfId="3000"/>
    <cellStyle name="Normal 24 14" xfId="3001"/>
    <cellStyle name="Normal 24 15" xfId="3002"/>
    <cellStyle name="Normal 24 16" xfId="3003"/>
    <cellStyle name="Normal 24 17" xfId="3004"/>
    <cellStyle name="Normal 24 18" xfId="3005"/>
    <cellStyle name="Normal 24 19" xfId="3006"/>
    <cellStyle name="Normal 24 2" xfId="3007"/>
    <cellStyle name="Normal 24 20" xfId="3008"/>
    <cellStyle name="Normal 24 21" xfId="3009"/>
    <cellStyle name="Normal 24 22" xfId="3010"/>
    <cellStyle name="Normal 24 23" xfId="3011"/>
    <cellStyle name="Normal 24 24" xfId="3012"/>
    <cellStyle name="Normal 24 25" xfId="3013"/>
    <cellStyle name="Normal 24 26" xfId="3014"/>
    <cellStyle name="Normal 24 27" xfId="3015"/>
    <cellStyle name="Normal 24 28" xfId="3016"/>
    <cellStyle name="Normal 24 29" xfId="3017"/>
    <cellStyle name="Normal 24 3" xfId="3018"/>
    <cellStyle name="Normal 24 30" xfId="3019"/>
    <cellStyle name="Normal 24 31" xfId="20098"/>
    <cellStyle name="Normal 24 4" xfId="3020"/>
    <cellStyle name="Normal 24 5" xfId="3021"/>
    <cellStyle name="Normal 24 6" xfId="3022"/>
    <cellStyle name="Normal 24 7" xfId="3023"/>
    <cellStyle name="Normal 24 8" xfId="3024"/>
    <cellStyle name="Normal 24 9" xfId="3025"/>
    <cellStyle name="Normal 24_Forecast" xfId="23375"/>
    <cellStyle name="Normal 25" xfId="3026"/>
    <cellStyle name="Normal 25 10" xfId="3027"/>
    <cellStyle name="Normal 25 11" xfId="3028"/>
    <cellStyle name="Normal 25 12" xfId="3029"/>
    <cellStyle name="Normal 25 13" xfId="3030"/>
    <cellStyle name="Normal 25 14" xfId="3031"/>
    <cellStyle name="Normal 25 15" xfId="3032"/>
    <cellStyle name="Normal 25 16" xfId="3033"/>
    <cellStyle name="Normal 25 17" xfId="3034"/>
    <cellStyle name="Normal 25 18" xfId="3035"/>
    <cellStyle name="Normal 25 19" xfId="3036"/>
    <cellStyle name="Normal 25 2" xfId="3037"/>
    <cellStyle name="Normal 25 20" xfId="3038"/>
    <cellStyle name="Normal 25 21" xfId="3039"/>
    <cellStyle name="Normal 25 22" xfId="3040"/>
    <cellStyle name="Normal 25 23" xfId="3041"/>
    <cellStyle name="Normal 25 24" xfId="3042"/>
    <cellStyle name="Normal 25 25" xfId="3043"/>
    <cellStyle name="Normal 25 26" xfId="3044"/>
    <cellStyle name="Normal 25 27" xfId="3045"/>
    <cellStyle name="Normal 25 28" xfId="3046"/>
    <cellStyle name="Normal 25 29" xfId="3047"/>
    <cellStyle name="Normal 25 3" xfId="3048"/>
    <cellStyle name="Normal 25 30" xfId="3049"/>
    <cellStyle name="Normal 25 31" xfId="20099"/>
    <cellStyle name="Normal 25 4" xfId="3050"/>
    <cellStyle name="Normal 25 5" xfId="3051"/>
    <cellStyle name="Normal 25 6" xfId="3052"/>
    <cellStyle name="Normal 25 7" xfId="3053"/>
    <cellStyle name="Normal 25 8" xfId="3054"/>
    <cellStyle name="Normal 25 9" xfId="3055"/>
    <cellStyle name="Normal 25_Forecast" xfId="23376"/>
    <cellStyle name="Normal 26" xfId="3056"/>
    <cellStyle name="Normal 26 2" xfId="20100"/>
    <cellStyle name="Normal 26_Note Calc" xfId="27542"/>
    <cellStyle name="Normal 27" xfId="3057"/>
    <cellStyle name="Normal 27 10" xfId="3058"/>
    <cellStyle name="Normal 27 11" xfId="3059"/>
    <cellStyle name="Normal 27 12" xfId="3060"/>
    <cellStyle name="Normal 27 13" xfId="3061"/>
    <cellStyle name="Normal 27 14" xfId="3062"/>
    <cellStyle name="Normal 27 15" xfId="3063"/>
    <cellStyle name="Normal 27 16" xfId="3064"/>
    <cellStyle name="Normal 27 17" xfId="3065"/>
    <cellStyle name="Normal 27 18" xfId="3066"/>
    <cellStyle name="Normal 27 19" xfId="3067"/>
    <cellStyle name="Normal 27 2" xfId="3068"/>
    <cellStyle name="Normal 27 20" xfId="3069"/>
    <cellStyle name="Normal 27 21" xfId="3070"/>
    <cellStyle name="Normal 27 22" xfId="3071"/>
    <cellStyle name="Normal 27 23" xfId="3072"/>
    <cellStyle name="Normal 27 24" xfId="3073"/>
    <cellStyle name="Normal 27 25" xfId="3074"/>
    <cellStyle name="Normal 27 26" xfId="3075"/>
    <cellStyle name="Normal 27 27" xfId="3076"/>
    <cellStyle name="Normal 27 28" xfId="3077"/>
    <cellStyle name="Normal 27 29" xfId="3078"/>
    <cellStyle name="Normal 27 3" xfId="3079"/>
    <cellStyle name="Normal 27 30" xfId="3080"/>
    <cellStyle name="Normal 27 31" xfId="20101"/>
    <cellStyle name="Normal 27 4" xfId="3081"/>
    <cellStyle name="Normal 27 5" xfId="3082"/>
    <cellStyle name="Normal 27 6" xfId="3083"/>
    <cellStyle name="Normal 27 7" xfId="3084"/>
    <cellStyle name="Normal 27 8" xfId="3085"/>
    <cellStyle name="Normal 27 9" xfId="3086"/>
    <cellStyle name="Normal 27_Forecast" xfId="23377"/>
    <cellStyle name="Normal 28" xfId="3087"/>
    <cellStyle name="Normal 28 10" xfId="3088"/>
    <cellStyle name="Normal 28 11" xfId="3089"/>
    <cellStyle name="Normal 28 12" xfId="3090"/>
    <cellStyle name="Normal 28 13" xfId="3091"/>
    <cellStyle name="Normal 28 14" xfId="3092"/>
    <cellStyle name="Normal 28 15" xfId="3093"/>
    <cellStyle name="Normal 28 16" xfId="3094"/>
    <cellStyle name="Normal 28 17" xfId="3095"/>
    <cellStyle name="Normal 28 18" xfId="3096"/>
    <cellStyle name="Normal 28 19" xfId="3097"/>
    <cellStyle name="Normal 28 2" xfId="3098"/>
    <cellStyle name="Normal 28 20" xfId="3099"/>
    <cellStyle name="Normal 28 21" xfId="3100"/>
    <cellStyle name="Normal 28 22" xfId="3101"/>
    <cellStyle name="Normal 28 23" xfId="3102"/>
    <cellStyle name="Normal 28 24" xfId="3103"/>
    <cellStyle name="Normal 28 25" xfId="3104"/>
    <cellStyle name="Normal 28 26" xfId="3105"/>
    <cellStyle name="Normal 28 27" xfId="3106"/>
    <cellStyle name="Normal 28 28" xfId="3107"/>
    <cellStyle name="Normal 28 29" xfId="3108"/>
    <cellStyle name="Normal 28 3" xfId="3109"/>
    <cellStyle name="Normal 28 30" xfId="3110"/>
    <cellStyle name="Normal 28 31" xfId="20102"/>
    <cellStyle name="Normal 28 4" xfId="3111"/>
    <cellStyle name="Normal 28 5" xfId="3112"/>
    <cellStyle name="Normal 28 6" xfId="3113"/>
    <cellStyle name="Normal 28 7" xfId="3114"/>
    <cellStyle name="Normal 28 8" xfId="3115"/>
    <cellStyle name="Normal 28 9" xfId="3116"/>
    <cellStyle name="Normal 28_Forecast" xfId="23378"/>
    <cellStyle name="Normal 29" xfId="3117"/>
    <cellStyle name="Normal 29 10" xfId="3118"/>
    <cellStyle name="Normal 29 10 2" xfId="8621"/>
    <cellStyle name="Normal 29 10 2 2" xfId="11440"/>
    <cellStyle name="Normal 29 10 2 3" xfId="10127"/>
    <cellStyle name="Normal 29 10 2_Note Calc" xfId="27543"/>
    <cellStyle name="Normal 29 10 3" xfId="8822"/>
    <cellStyle name="Normal 29 10 3 2" xfId="11514"/>
    <cellStyle name="Normal 29 10 3 3" xfId="10201"/>
    <cellStyle name="Normal 29 10 3_Note Calc" xfId="27544"/>
    <cellStyle name="Normal 29 10 4" xfId="10826"/>
    <cellStyle name="Normal 29 10 5" xfId="9513"/>
    <cellStyle name="Normal 29 10_Forecast" xfId="23379"/>
    <cellStyle name="Normal 29 11" xfId="3119"/>
    <cellStyle name="Normal 29 11 2" xfId="8622"/>
    <cellStyle name="Normal 29 11 2 2" xfId="11441"/>
    <cellStyle name="Normal 29 11 2 3" xfId="10128"/>
    <cellStyle name="Normal 29 11 2_Note Calc" xfId="27545"/>
    <cellStyle name="Normal 29 11 3" xfId="8823"/>
    <cellStyle name="Normal 29 11 3 2" xfId="11515"/>
    <cellStyle name="Normal 29 11 3 3" xfId="10202"/>
    <cellStyle name="Normal 29 11 3_Note Calc" xfId="27546"/>
    <cellStyle name="Normal 29 11 4" xfId="10827"/>
    <cellStyle name="Normal 29 11 5" xfId="9514"/>
    <cellStyle name="Normal 29 11_Forecast" xfId="23380"/>
    <cellStyle name="Normal 29 12" xfId="3120"/>
    <cellStyle name="Normal 29 12 2" xfId="8623"/>
    <cellStyle name="Normal 29 12 2 2" xfId="11442"/>
    <cellStyle name="Normal 29 12 2 3" xfId="10129"/>
    <cellStyle name="Normal 29 12 2_Note Calc" xfId="27547"/>
    <cellStyle name="Normal 29 12 3" xfId="8824"/>
    <cellStyle name="Normal 29 12 3 2" xfId="11516"/>
    <cellStyle name="Normal 29 12 3 3" xfId="10203"/>
    <cellStyle name="Normal 29 12 3_Note Calc" xfId="27548"/>
    <cellStyle name="Normal 29 12 4" xfId="10828"/>
    <cellStyle name="Normal 29 12 5" xfId="9515"/>
    <cellStyle name="Normal 29 12_Forecast" xfId="23381"/>
    <cellStyle name="Normal 29 13" xfId="3121"/>
    <cellStyle name="Normal 29 13 2" xfId="8624"/>
    <cellStyle name="Normal 29 13 2 2" xfId="11443"/>
    <cellStyle name="Normal 29 13 2 3" xfId="10130"/>
    <cellStyle name="Normal 29 13 2_Note Calc" xfId="27549"/>
    <cellStyle name="Normal 29 13 3" xfId="8825"/>
    <cellStyle name="Normal 29 13 3 2" xfId="11517"/>
    <cellStyle name="Normal 29 13 3 3" xfId="10204"/>
    <cellStyle name="Normal 29 13 3_Note Calc" xfId="27550"/>
    <cellStyle name="Normal 29 13 4" xfId="10829"/>
    <cellStyle name="Normal 29 13 5" xfId="9516"/>
    <cellStyle name="Normal 29 13_Forecast" xfId="23382"/>
    <cellStyle name="Normal 29 14" xfId="3122"/>
    <cellStyle name="Normal 29 15" xfId="3123"/>
    <cellStyle name="Normal 29 16" xfId="3124"/>
    <cellStyle name="Normal 29 17" xfId="3125"/>
    <cellStyle name="Normal 29 18" xfId="3126"/>
    <cellStyle name="Normal 29 19" xfId="3127"/>
    <cellStyle name="Normal 29 2" xfId="3128"/>
    <cellStyle name="Normal 29 2 2" xfId="8625"/>
    <cellStyle name="Normal 29 2 2 2" xfId="11444"/>
    <cellStyle name="Normal 29 2 2 3" xfId="10131"/>
    <cellStyle name="Normal 29 2 2_Note Calc" xfId="27551"/>
    <cellStyle name="Normal 29 2 3" xfId="8826"/>
    <cellStyle name="Normal 29 2 3 2" xfId="11518"/>
    <cellStyle name="Normal 29 2 3 3" xfId="10205"/>
    <cellStyle name="Normal 29 2 3_Note Calc" xfId="27552"/>
    <cellStyle name="Normal 29 2 4" xfId="10830"/>
    <cellStyle name="Normal 29 2 5" xfId="9517"/>
    <cellStyle name="Normal 29 2_Forecast" xfId="23383"/>
    <cellStyle name="Normal 29 20" xfId="3129"/>
    <cellStyle name="Normal 29 21" xfId="3130"/>
    <cellStyle name="Normal 29 22" xfId="3131"/>
    <cellStyle name="Normal 29 23" xfId="3132"/>
    <cellStyle name="Normal 29 24" xfId="3133"/>
    <cellStyle name="Normal 29 25" xfId="3134"/>
    <cellStyle name="Normal 29 26" xfId="3135"/>
    <cellStyle name="Normal 29 27" xfId="3136"/>
    <cellStyle name="Normal 29 28" xfId="3137"/>
    <cellStyle name="Normal 29 29" xfId="3138"/>
    <cellStyle name="Normal 29 3" xfId="3139"/>
    <cellStyle name="Normal 29 3 2" xfId="8626"/>
    <cellStyle name="Normal 29 3 2 2" xfId="11445"/>
    <cellStyle name="Normal 29 3 2 3" xfId="10132"/>
    <cellStyle name="Normal 29 3 2_Note Calc" xfId="27553"/>
    <cellStyle name="Normal 29 3 3" xfId="8827"/>
    <cellStyle name="Normal 29 3 3 2" xfId="11519"/>
    <cellStyle name="Normal 29 3 3 3" xfId="10206"/>
    <cellStyle name="Normal 29 3 3_Note Calc" xfId="27554"/>
    <cellStyle name="Normal 29 3 4" xfId="10831"/>
    <cellStyle name="Normal 29 3 5" xfId="9518"/>
    <cellStyle name="Normal 29 3_Forecast" xfId="23384"/>
    <cellStyle name="Normal 29 30" xfId="3140"/>
    <cellStyle name="Normal 29 31" xfId="3141"/>
    <cellStyle name="Normal 29 32" xfId="3142"/>
    <cellStyle name="Normal 29 33" xfId="3143"/>
    <cellStyle name="Normal 29 34" xfId="3144"/>
    <cellStyle name="Normal 29 35" xfId="3145"/>
    <cellStyle name="Normal 29 36" xfId="3146"/>
    <cellStyle name="Normal 29 37" xfId="3147"/>
    <cellStyle name="Normal 29 38" xfId="3148"/>
    <cellStyle name="Normal 29 39" xfId="3149"/>
    <cellStyle name="Normal 29 4" xfId="3150"/>
    <cellStyle name="Normal 29 4 2" xfId="8627"/>
    <cellStyle name="Normal 29 4 2 2" xfId="11446"/>
    <cellStyle name="Normal 29 4 2 3" xfId="10133"/>
    <cellStyle name="Normal 29 4 2_Note Calc" xfId="27555"/>
    <cellStyle name="Normal 29 4 3" xfId="8828"/>
    <cellStyle name="Normal 29 4 3 2" xfId="11520"/>
    <cellStyle name="Normal 29 4 3 3" xfId="10207"/>
    <cellStyle name="Normal 29 4 3_Note Calc" xfId="27556"/>
    <cellStyle name="Normal 29 4 4" xfId="10832"/>
    <cellStyle name="Normal 29 4 5" xfId="9519"/>
    <cellStyle name="Normal 29 4_Forecast" xfId="23385"/>
    <cellStyle name="Normal 29 40" xfId="20103"/>
    <cellStyle name="Normal 29 5" xfId="3151"/>
    <cellStyle name="Normal 29 5 2" xfId="8628"/>
    <cellStyle name="Normal 29 5 2 2" xfId="11447"/>
    <cellStyle name="Normal 29 5 2 3" xfId="10134"/>
    <cellStyle name="Normal 29 5 2_Note Calc" xfId="27557"/>
    <cellStyle name="Normal 29 5 3" xfId="8829"/>
    <cellStyle name="Normal 29 5 3 2" xfId="11521"/>
    <cellStyle name="Normal 29 5 3 3" xfId="10208"/>
    <cellStyle name="Normal 29 5 3_Note Calc" xfId="27558"/>
    <cellStyle name="Normal 29 5 4" xfId="10833"/>
    <cellStyle name="Normal 29 5 5" xfId="9520"/>
    <cellStyle name="Normal 29 5_Forecast" xfId="23386"/>
    <cellStyle name="Normal 29 6" xfId="3152"/>
    <cellStyle name="Normal 29 6 2" xfId="8629"/>
    <cellStyle name="Normal 29 6 2 2" xfId="11448"/>
    <cellStyle name="Normal 29 6 2 3" xfId="10135"/>
    <cellStyle name="Normal 29 6 2_Note Calc" xfId="27559"/>
    <cellStyle name="Normal 29 6 3" xfId="8830"/>
    <cellStyle name="Normal 29 6 3 2" xfId="11522"/>
    <cellStyle name="Normal 29 6 3 3" xfId="10209"/>
    <cellStyle name="Normal 29 6 3_Note Calc" xfId="27560"/>
    <cellStyle name="Normal 29 6 4" xfId="10834"/>
    <cellStyle name="Normal 29 6 5" xfId="9521"/>
    <cellStyle name="Normal 29 6_Forecast" xfId="23387"/>
    <cellStyle name="Normal 29 7" xfId="3153"/>
    <cellStyle name="Normal 29 7 2" xfId="8630"/>
    <cellStyle name="Normal 29 7 2 2" xfId="11449"/>
    <cellStyle name="Normal 29 7 2 3" xfId="10136"/>
    <cellStyle name="Normal 29 7 2_Note Calc" xfId="27561"/>
    <cellStyle name="Normal 29 7 3" xfId="8831"/>
    <cellStyle name="Normal 29 7 3 2" xfId="11523"/>
    <cellStyle name="Normal 29 7 3 3" xfId="10210"/>
    <cellStyle name="Normal 29 7 3_Note Calc" xfId="27562"/>
    <cellStyle name="Normal 29 7 4" xfId="10835"/>
    <cellStyle name="Normal 29 7 5" xfId="9522"/>
    <cellStyle name="Normal 29 7_Forecast" xfId="23388"/>
    <cellStyle name="Normal 29 8" xfId="3154"/>
    <cellStyle name="Normal 29 8 2" xfId="8631"/>
    <cellStyle name="Normal 29 8 2 2" xfId="11450"/>
    <cellStyle name="Normal 29 8 2 3" xfId="10137"/>
    <cellStyle name="Normal 29 8 2_Note Calc" xfId="27563"/>
    <cellStyle name="Normal 29 8 3" xfId="8832"/>
    <cellStyle name="Normal 29 8 3 2" xfId="11524"/>
    <cellStyle name="Normal 29 8 3 3" xfId="10211"/>
    <cellStyle name="Normal 29 8 3_Note Calc" xfId="27564"/>
    <cellStyle name="Normal 29 8 4" xfId="10836"/>
    <cellStyle name="Normal 29 8 5" xfId="9523"/>
    <cellStyle name="Normal 29 8_Forecast" xfId="23389"/>
    <cellStyle name="Normal 29 9" xfId="3155"/>
    <cellStyle name="Normal 29 9 2" xfId="8632"/>
    <cellStyle name="Normal 29 9 2 2" xfId="11451"/>
    <cellStyle name="Normal 29 9 2 3" xfId="10138"/>
    <cellStyle name="Normal 29 9 2_Note Calc" xfId="27565"/>
    <cellStyle name="Normal 29 9 3" xfId="8833"/>
    <cellStyle name="Normal 29 9 3 2" xfId="11525"/>
    <cellStyle name="Normal 29 9 3 3" xfId="10212"/>
    <cellStyle name="Normal 29 9 3_Note Calc" xfId="27566"/>
    <cellStyle name="Normal 29 9 4" xfId="10837"/>
    <cellStyle name="Normal 29 9 5" xfId="9524"/>
    <cellStyle name="Normal 29 9_Forecast" xfId="23390"/>
    <cellStyle name="Normal 29_Forecast" xfId="23391"/>
    <cellStyle name="Normal 3" xfId="3156"/>
    <cellStyle name="Normal 3 10" xfId="8403"/>
    <cellStyle name="Normal 3 10 2" xfId="9308"/>
    <cellStyle name="Normal 3 10 2 2" xfId="11999"/>
    <cellStyle name="Normal 3 10 2 3" xfId="10686"/>
    <cellStyle name="Normal 3 10 2_Note Calc" xfId="27567"/>
    <cellStyle name="Normal 3 10 3" xfId="11311"/>
    <cellStyle name="Normal 3 10 4" xfId="9998"/>
    <cellStyle name="Normal 3 10 5" xfId="20105"/>
    <cellStyle name="Normal 3 10_Forecast" xfId="23392"/>
    <cellStyle name="Normal 3 11" xfId="8514"/>
    <cellStyle name="Normal 3 11 2" xfId="9368"/>
    <cellStyle name="Normal 3 11 2 2" xfId="12059"/>
    <cellStyle name="Normal 3 11 2 3" xfId="10746"/>
    <cellStyle name="Normal 3 11 2_Note Calc" xfId="27568"/>
    <cellStyle name="Normal 3 11 3" xfId="11371"/>
    <cellStyle name="Normal 3 11 4" xfId="10058"/>
    <cellStyle name="Normal 3 11_Forecast" xfId="23393"/>
    <cellStyle name="Normal 3 12" xfId="12142"/>
    <cellStyle name="Normal 3 13" xfId="12258"/>
    <cellStyle name="Normal 3 14" xfId="20104"/>
    <cellStyle name="Normal 3 15" xfId="21937"/>
    <cellStyle name="Normal 3 16" xfId="21927"/>
    <cellStyle name="Normal 3 17" xfId="27569"/>
    <cellStyle name="Normal 3 2" xfId="3157"/>
    <cellStyle name="Normal 3 2 2" xfId="8080"/>
    <cellStyle name="Normal 3 2 3" xfId="8404"/>
    <cellStyle name="Normal 3 2 4" xfId="8515"/>
    <cellStyle name="Normal 3 2 5" xfId="20106"/>
    <cellStyle name="Normal 3 2_Forecast" xfId="23394"/>
    <cellStyle name="Normal 3 3" xfId="3158"/>
    <cellStyle name="Normal 3 3 10" xfId="20107"/>
    <cellStyle name="Normal 3 3 2" xfId="8081"/>
    <cellStyle name="Normal 3 3 3" xfId="8083"/>
    <cellStyle name="Normal 3 3 4" xfId="8084"/>
    <cellStyle name="Normal 3 3 5" xfId="8085"/>
    <cellStyle name="Normal 3 3 6" xfId="8086"/>
    <cellStyle name="Normal 3 3 7" xfId="8087"/>
    <cellStyle name="Normal 3 3 8" xfId="8405"/>
    <cellStyle name="Normal 3 3 9" xfId="8516"/>
    <cellStyle name="Normal 3 3_Forecast" xfId="23395"/>
    <cellStyle name="Normal 3 4" xfId="8079"/>
    <cellStyle name="Normal 3 4 2" xfId="9108"/>
    <cellStyle name="Normal 3 4 2 2" xfId="11799"/>
    <cellStyle name="Normal 3 4 2 3" xfId="10486"/>
    <cellStyle name="Normal 3 4 2_Note Calc" xfId="27570"/>
    <cellStyle name="Normal 3 4 3" xfId="11111"/>
    <cellStyle name="Normal 3 4 4" xfId="9798"/>
    <cellStyle name="Normal 3 4 5" xfId="20108"/>
    <cellStyle name="Normal 3 4_Forecast" xfId="23396"/>
    <cellStyle name="Normal 3 5" xfId="8089"/>
    <cellStyle name="Normal 3 5 2" xfId="9111"/>
    <cellStyle name="Normal 3 5 2 2" xfId="11802"/>
    <cellStyle name="Normal 3 5 2 3" xfId="10489"/>
    <cellStyle name="Normal 3 5 2_Note Calc" xfId="27571"/>
    <cellStyle name="Normal 3 5 3" xfId="11114"/>
    <cellStyle name="Normal 3 5 4" xfId="9801"/>
    <cellStyle name="Normal 3 5 5" xfId="20109"/>
    <cellStyle name="Normal 3 5_Forecast" xfId="23397"/>
    <cellStyle name="Normal 3 6" xfId="8090"/>
    <cellStyle name="Normal 3 6 2" xfId="9112"/>
    <cellStyle name="Normal 3 6 2 2" xfId="11803"/>
    <cellStyle name="Normal 3 6 2 3" xfId="10490"/>
    <cellStyle name="Normal 3 6 2_Note Calc" xfId="27572"/>
    <cellStyle name="Normal 3 6 3" xfId="11115"/>
    <cellStyle name="Normal 3 6 4" xfId="9802"/>
    <cellStyle name="Normal 3 6 5" xfId="20110"/>
    <cellStyle name="Normal 3 6_Forecast" xfId="23398"/>
    <cellStyle name="Normal 3 7" xfId="8091"/>
    <cellStyle name="Normal 3 7 2" xfId="9113"/>
    <cellStyle name="Normal 3 7 2 2" xfId="11804"/>
    <cellStyle name="Normal 3 7 2 3" xfId="10491"/>
    <cellStyle name="Normal 3 7 2_Note Calc" xfId="27573"/>
    <cellStyle name="Normal 3 7 3" xfId="11116"/>
    <cellStyle name="Normal 3 7 4" xfId="9803"/>
    <cellStyle name="Normal 3 7 5" xfId="20111"/>
    <cellStyle name="Normal 3 7_Forecast" xfId="23399"/>
    <cellStyle name="Normal 3 8" xfId="8092"/>
    <cellStyle name="Normal 3 8 2" xfId="9114"/>
    <cellStyle name="Normal 3 8 2 2" xfId="11805"/>
    <cellStyle name="Normal 3 8 2 3" xfId="10492"/>
    <cellStyle name="Normal 3 8 2_Note Calc" xfId="27574"/>
    <cellStyle name="Normal 3 8 3" xfId="11117"/>
    <cellStyle name="Normal 3 8 4" xfId="9804"/>
    <cellStyle name="Normal 3 8 5" xfId="20112"/>
    <cellStyle name="Normal 3 8_Forecast" xfId="23400"/>
    <cellStyle name="Normal 3 9" xfId="8093"/>
    <cellStyle name="Normal 3 9 2" xfId="9115"/>
    <cellStyle name="Normal 3 9 2 2" xfId="11806"/>
    <cellStyle name="Normal 3 9 2 3" xfId="10493"/>
    <cellStyle name="Normal 3 9 2_Note Calc" xfId="27575"/>
    <cellStyle name="Normal 3 9 3" xfId="11118"/>
    <cellStyle name="Normal 3 9 4" xfId="9805"/>
    <cellStyle name="Normal 3 9 5" xfId="20113"/>
    <cellStyle name="Normal 3 9_Forecast" xfId="23401"/>
    <cellStyle name="Normal 3_Forecast" xfId="23402"/>
    <cellStyle name="Normal 30" xfId="3159"/>
    <cellStyle name="Normal 30 10" xfId="3160"/>
    <cellStyle name="Normal 30 10 2" xfId="8633"/>
    <cellStyle name="Normal 30 10 2 2" xfId="11452"/>
    <cellStyle name="Normal 30 10 2 3" xfId="10139"/>
    <cellStyle name="Normal 30 10 2_Note Calc" xfId="27576"/>
    <cellStyle name="Normal 30 10 3" xfId="8834"/>
    <cellStyle name="Normal 30 10 3 2" xfId="11526"/>
    <cellStyle name="Normal 30 10 3 3" xfId="10213"/>
    <cellStyle name="Normal 30 10 3_Note Calc" xfId="27577"/>
    <cellStyle name="Normal 30 10 4" xfId="10838"/>
    <cellStyle name="Normal 30 10 5" xfId="9525"/>
    <cellStyle name="Normal 30 10_Forecast" xfId="23403"/>
    <cellStyle name="Normal 30 11" xfId="3161"/>
    <cellStyle name="Normal 30 11 2" xfId="8634"/>
    <cellStyle name="Normal 30 11 2 2" xfId="11453"/>
    <cellStyle name="Normal 30 11 2 3" xfId="10140"/>
    <cellStyle name="Normal 30 11 2_Note Calc" xfId="27578"/>
    <cellStyle name="Normal 30 11 3" xfId="8835"/>
    <cellStyle name="Normal 30 11 3 2" xfId="11527"/>
    <cellStyle name="Normal 30 11 3 3" xfId="10214"/>
    <cellStyle name="Normal 30 11 3_Note Calc" xfId="27579"/>
    <cellStyle name="Normal 30 11 4" xfId="10839"/>
    <cellStyle name="Normal 30 11 5" xfId="9526"/>
    <cellStyle name="Normal 30 11_Forecast" xfId="23404"/>
    <cellStyle name="Normal 30 12" xfId="3162"/>
    <cellStyle name="Normal 30 12 2" xfId="8635"/>
    <cellStyle name="Normal 30 12 2 2" xfId="11454"/>
    <cellStyle name="Normal 30 12 2 3" xfId="10141"/>
    <cellStyle name="Normal 30 12 2_Note Calc" xfId="27580"/>
    <cellStyle name="Normal 30 12 3" xfId="8836"/>
    <cellStyle name="Normal 30 12 3 2" xfId="11528"/>
    <cellStyle name="Normal 30 12 3 3" xfId="10215"/>
    <cellStyle name="Normal 30 12 3_Note Calc" xfId="27581"/>
    <cellStyle name="Normal 30 12 4" xfId="10840"/>
    <cellStyle name="Normal 30 12 5" xfId="9527"/>
    <cellStyle name="Normal 30 12_Forecast" xfId="23405"/>
    <cellStyle name="Normal 30 13" xfId="3163"/>
    <cellStyle name="Normal 30 13 2" xfId="8636"/>
    <cellStyle name="Normal 30 13 2 2" xfId="11455"/>
    <cellStyle name="Normal 30 13 2 3" xfId="10142"/>
    <cellStyle name="Normal 30 13 2_Note Calc" xfId="27582"/>
    <cellStyle name="Normal 30 13 3" xfId="8837"/>
    <cellStyle name="Normal 30 13 3 2" xfId="11529"/>
    <cellStyle name="Normal 30 13 3 3" xfId="10216"/>
    <cellStyle name="Normal 30 13 3_Note Calc" xfId="27583"/>
    <cellStyle name="Normal 30 13 4" xfId="10841"/>
    <cellStyle name="Normal 30 13 5" xfId="9528"/>
    <cellStyle name="Normal 30 13_Forecast" xfId="23406"/>
    <cellStyle name="Normal 30 14" xfId="3164"/>
    <cellStyle name="Normal 30 15" xfId="3165"/>
    <cellStyle name="Normal 30 16" xfId="3166"/>
    <cellStyle name="Normal 30 17" xfId="3167"/>
    <cellStyle name="Normal 30 18" xfId="3168"/>
    <cellStyle name="Normal 30 19" xfId="3169"/>
    <cellStyle name="Normal 30 2" xfId="3170"/>
    <cellStyle name="Normal 30 2 2" xfId="8637"/>
    <cellStyle name="Normal 30 2 2 2" xfId="11456"/>
    <cellStyle name="Normal 30 2 2 3" xfId="10143"/>
    <cellStyle name="Normal 30 2 2_Note Calc" xfId="27584"/>
    <cellStyle name="Normal 30 2 3" xfId="8838"/>
    <cellStyle name="Normal 30 2 3 2" xfId="11530"/>
    <cellStyle name="Normal 30 2 3 3" xfId="10217"/>
    <cellStyle name="Normal 30 2 3_Note Calc" xfId="27585"/>
    <cellStyle name="Normal 30 2 4" xfId="10842"/>
    <cellStyle name="Normal 30 2 5" xfId="9529"/>
    <cellStyle name="Normal 30 2_Forecast" xfId="23407"/>
    <cellStyle name="Normal 30 20" xfId="3171"/>
    <cellStyle name="Normal 30 21" xfId="3172"/>
    <cellStyle name="Normal 30 22" xfId="3173"/>
    <cellStyle name="Normal 30 23" xfId="3174"/>
    <cellStyle name="Normal 30 24" xfId="3175"/>
    <cellStyle name="Normal 30 25" xfId="3176"/>
    <cellStyle name="Normal 30 26" xfId="3177"/>
    <cellStyle name="Normal 30 27" xfId="3178"/>
    <cellStyle name="Normal 30 28" xfId="3179"/>
    <cellStyle name="Normal 30 29" xfId="3180"/>
    <cellStyle name="Normal 30 3" xfId="3181"/>
    <cellStyle name="Normal 30 3 2" xfId="8638"/>
    <cellStyle name="Normal 30 3 2 2" xfId="11457"/>
    <cellStyle name="Normal 30 3 2 3" xfId="10144"/>
    <cellStyle name="Normal 30 3 2_Note Calc" xfId="27586"/>
    <cellStyle name="Normal 30 3 3" xfId="8839"/>
    <cellStyle name="Normal 30 3 3 2" xfId="11531"/>
    <cellStyle name="Normal 30 3 3 3" xfId="10218"/>
    <cellStyle name="Normal 30 3 3_Note Calc" xfId="27587"/>
    <cellStyle name="Normal 30 3 4" xfId="10843"/>
    <cellStyle name="Normal 30 3 5" xfId="9530"/>
    <cellStyle name="Normal 30 3_Forecast" xfId="23408"/>
    <cellStyle name="Normal 30 30" xfId="3182"/>
    <cellStyle name="Normal 30 31" xfId="3183"/>
    <cellStyle name="Normal 30 32" xfId="3184"/>
    <cellStyle name="Normal 30 33" xfId="3185"/>
    <cellStyle name="Normal 30 34" xfId="3186"/>
    <cellStyle name="Normal 30 35" xfId="3187"/>
    <cellStyle name="Normal 30 36" xfId="3188"/>
    <cellStyle name="Normal 30 37" xfId="3189"/>
    <cellStyle name="Normal 30 38" xfId="3190"/>
    <cellStyle name="Normal 30 39" xfId="3191"/>
    <cellStyle name="Normal 30 4" xfId="3192"/>
    <cellStyle name="Normal 30 4 2" xfId="8639"/>
    <cellStyle name="Normal 30 4 2 2" xfId="11458"/>
    <cellStyle name="Normal 30 4 2 3" xfId="10145"/>
    <cellStyle name="Normal 30 4 2_Note Calc" xfId="27588"/>
    <cellStyle name="Normal 30 4 3" xfId="8840"/>
    <cellStyle name="Normal 30 4 3 2" xfId="11532"/>
    <cellStyle name="Normal 30 4 3 3" xfId="10219"/>
    <cellStyle name="Normal 30 4 3_Note Calc" xfId="27589"/>
    <cellStyle name="Normal 30 4 4" xfId="10844"/>
    <cellStyle name="Normal 30 4 5" xfId="9531"/>
    <cellStyle name="Normal 30 4_Forecast" xfId="23409"/>
    <cellStyle name="Normal 30 40" xfId="20114"/>
    <cellStyle name="Normal 30 5" xfId="3193"/>
    <cellStyle name="Normal 30 5 2" xfId="8640"/>
    <cellStyle name="Normal 30 5 2 2" xfId="11459"/>
    <cellStyle name="Normal 30 5 2 3" xfId="10146"/>
    <cellStyle name="Normal 30 5 2_Note Calc" xfId="27590"/>
    <cellStyle name="Normal 30 5 3" xfId="8841"/>
    <cellStyle name="Normal 30 5 3 2" xfId="11533"/>
    <cellStyle name="Normal 30 5 3 3" xfId="10220"/>
    <cellStyle name="Normal 30 5 3_Note Calc" xfId="27591"/>
    <cellStyle name="Normal 30 5 4" xfId="10845"/>
    <cellStyle name="Normal 30 5 5" xfId="9532"/>
    <cellStyle name="Normal 30 5_Forecast" xfId="23410"/>
    <cellStyle name="Normal 30 6" xfId="3194"/>
    <cellStyle name="Normal 30 6 2" xfId="8641"/>
    <cellStyle name="Normal 30 6 2 2" xfId="11460"/>
    <cellStyle name="Normal 30 6 2 3" xfId="10147"/>
    <cellStyle name="Normal 30 6 2_Note Calc" xfId="27592"/>
    <cellStyle name="Normal 30 6 3" xfId="8842"/>
    <cellStyle name="Normal 30 6 3 2" xfId="11534"/>
    <cellStyle name="Normal 30 6 3 3" xfId="10221"/>
    <cellStyle name="Normal 30 6 3_Note Calc" xfId="27593"/>
    <cellStyle name="Normal 30 6 4" xfId="10846"/>
    <cellStyle name="Normal 30 6 5" xfId="9533"/>
    <cellStyle name="Normal 30 6_Forecast" xfId="23411"/>
    <cellStyle name="Normal 30 7" xfId="3195"/>
    <cellStyle name="Normal 30 7 2" xfId="8642"/>
    <cellStyle name="Normal 30 7 2 2" xfId="11461"/>
    <cellStyle name="Normal 30 7 2 3" xfId="10148"/>
    <cellStyle name="Normal 30 7 2_Note Calc" xfId="27594"/>
    <cellStyle name="Normal 30 7 3" xfId="8843"/>
    <cellStyle name="Normal 30 7 3 2" xfId="11535"/>
    <cellStyle name="Normal 30 7 3 3" xfId="10222"/>
    <cellStyle name="Normal 30 7 3_Note Calc" xfId="27595"/>
    <cellStyle name="Normal 30 7 4" xfId="10847"/>
    <cellStyle name="Normal 30 7 5" xfId="9534"/>
    <cellStyle name="Normal 30 7_Forecast" xfId="23412"/>
    <cellStyle name="Normal 30 8" xfId="3196"/>
    <cellStyle name="Normal 30 8 2" xfId="8643"/>
    <cellStyle name="Normal 30 8 2 2" xfId="11462"/>
    <cellStyle name="Normal 30 8 2 3" xfId="10149"/>
    <cellStyle name="Normal 30 8 2_Note Calc" xfId="27596"/>
    <cellStyle name="Normal 30 8 3" xfId="8844"/>
    <cellStyle name="Normal 30 8 3 2" xfId="11536"/>
    <cellStyle name="Normal 30 8 3 3" xfId="10223"/>
    <cellStyle name="Normal 30 8 3_Note Calc" xfId="27597"/>
    <cellStyle name="Normal 30 8 4" xfId="10848"/>
    <cellStyle name="Normal 30 8 5" xfId="9535"/>
    <cellStyle name="Normal 30 8_Forecast" xfId="23413"/>
    <cellStyle name="Normal 30 9" xfId="3197"/>
    <cellStyle name="Normal 30 9 2" xfId="8644"/>
    <cellStyle name="Normal 30 9 2 2" xfId="11463"/>
    <cellStyle name="Normal 30 9 2 3" xfId="10150"/>
    <cellStyle name="Normal 30 9 2_Note Calc" xfId="27598"/>
    <cellStyle name="Normal 30 9 3" xfId="8845"/>
    <cellStyle name="Normal 30 9 3 2" xfId="11537"/>
    <cellStyle name="Normal 30 9 3 3" xfId="10224"/>
    <cellStyle name="Normal 30 9 3_Note Calc" xfId="27599"/>
    <cellStyle name="Normal 30 9 4" xfId="10849"/>
    <cellStyle name="Normal 30 9 5" xfId="9536"/>
    <cellStyle name="Normal 30 9_Forecast" xfId="23414"/>
    <cellStyle name="Normal 30_Forecast" xfId="23415"/>
    <cellStyle name="Normal 31" xfId="3198"/>
    <cellStyle name="Normal 31 10" xfId="3199"/>
    <cellStyle name="Normal 31 11" xfId="3200"/>
    <cellStyle name="Normal 31 12" xfId="3201"/>
    <cellStyle name="Normal 31 13" xfId="3202"/>
    <cellStyle name="Normal 31 14" xfId="3203"/>
    <cellStyle name="Normal 31 15" xfId="3204"/>
    <cellStyle name="Normal 31 16" xfId="3205"/>
    <cellStyle name="Normal 31 17" xfId="3206"/>
    <cellStyle name="Normal 31 18" xfId="3207"/>
    <cellStyle name="Normal 31 19" xfId="3208"/>
    <cellStyle name="Normal 31 2" xfId="3209"/>
    <cellStyle name="Normal 31 20" xfId="3210"/>
    <cellStyle name="Normal 31 21" xfId="3211"/>
    <cellStyle name="Normal 31 22" xfId="3212"/>
    <cellStyle name="Normal 31 23" xfId="3213"/>
    <cellStyle name="Normal 31 24" xfId="3214"/>
    <cellStyle name="Normal 31 25" xfId="3215"/>
    <cellStyle name="Normal 31 26" xfId="3216"/>
    <cellStyle name="Normal 31 27" xfId="3217"/>
    <cellStyle name="Normal 31 28" xfId="3218"/>
    <cellStyle name="Normal 31 29" xfId="3219"/>
    <cellStyle name="Normal 31 3" xfId="3220"/>
    <cellStyle name="Normal 31 30" xfId="3221"/>
    <cellStyle name="Normal 31 31" xfId="20115"/>
    <cellStyle name="Normal 31 4" xfId="3222"/>
    <cellStyle name="Normal 31 5" xfId="3223"/>
    <cellStyle name="Normal 31 6" xfId="3224"/>
    <cellStyle name="Normal 31 7" xfId="3225"/>
    <cellStyle name="Normal 31 8" xfId="3226"/>
    <cellStyle name="Normal 31 9" xfId="3227"/>
    <cellStyle name="Normal 31_Forecast" xfId="23416"/>
    <cellStyle name="Normal 32" xfId="3228"/>
    <cellStyle name="Normal 32 2" xfId="3229"/>
    <cellStyle name="Normal 32 3" xfId="3230"/>
    <cellStyle name="Normal 32 4" xfId="3231"/>
    <cellStyle name="Normal 32 5" xfId="20116"/>
    <cellStyle name="Normal 32_Forecast" xfId="23417"/>
    <cellStyle name="Normal 33" xfId="7422"/>
    <cellStyle name="Normal 33 10" xfId="8740"/>
    <cellStyle name="Normal 33 10 2" xfId="12219"/>
    <cellStyle name="Normal 33 10 2 2" xfId="23418"/>
    <cellStyle name="Normal 33 10 2_Forecast" xfId="23419"/>
    <cellStyle name="Normal 33 10 3" xfId="23420"/>
    <cellStyle name="Normal 33 10_Forecast" xfId="23421"/>
    <cellStyle name="Normal 33 11" xfId="12180"/>
    <cellStyle name="Normal 33 11 2" xfId="23422"/>
    <cellStyle name="Normal 33 11 2 2" xfId="23423"/>
    <cellStyle name="Normal 33 11 2_Forecast" xfId="23424"/>
    <cellStyle name="Normal 33 11 3" xfId="23425"/>
    <cellStyle name="Normal 33 11_Forecast" xfId="23426"/>
    <cellStyle name="Normal 33 12" xfId="20117"/>
    <cellStyle name="Normal 33 2" xfId="3232"/>
    <cellStyle name="Normal 33 3" xfId="3233"/>
    <cellStyle name="Normal 33 4" xfId="3234"/>
    <cellStyle name="Normal 33 5" xfId="3235"/>
    <cellStyle name="Normal 33 6" xfId="3236"/>
    <cellStyle name="Normal 33 7" xfId="3237"/>
    <cellStyle name="Normal 33 8" xfId="3238"/>
    <cellStyle name="Normal 33 9" xfId="8675"/>
    <cellStyle name="Normal 33 9 2" xfId="9431"/>
    <cellStyle name="Normal 33 9 2 2" xfId="23427"/>
    <cellStyle name="Normal 33 9 2 2 2" xfId="23428"/>
    <cellStyle name="Normal 33 9 2 2_Forecast" xfId="23429"/>
    <cellStyle name="Normal 33 9 2 3" xfId="23430"/>
    <cellStyle name="Normal 33 9 2_Forecast" xfId="23431"/>
    <cellStyle name="Normal 33 9 3" xfId="23432"/>
    <cellStyle name="Normal 33 9 3 2" xfId="23433"/>
    <cellStyle name="Normal 33 9 3_Forecast" xfId="23434"/>
    <cellStyle name="Normal 33 9 4" xfId="23435"/>
    <cellStyle name="Normal 33 9 5" xfId="23436"/>
    <cellStyle name="Normal 33 9_Forecast" xfId="23437"/>
    <cellStyle name="Normal 33_Forecast" xfId="23438"/>
    <cellStyle name="Normal 34" xfId="8195"/>
    <cellStyle name="Normal 34 10" xfId="3239"/>
    <cellStyle name="Normal 34 10 2" xfId="8645"/>
    <cellStyle name="Normal 34 10 2 2" xfId="9406"/>
    <cellStyle name="Normal 34 10 2 2 2" xfId="12220"/>
    <cellStyle name="Normal 34 10 2 2 2 2" xfId="23439"/>
    <cellStyle name="Normal 34 10 2 2 2_Forecast" xfId="23440"/>
    <cellStyle name="Normal 34 10 2 2 3" xfId="23441"/>
    <cellStyle name="Normal 34 10 2 2_Forecast" xfId="23442"/>
    <cellStyle name="Normal 34 10 2 3" xfId="23443"/>
    <cellStyle name="Normal 34 10 2 3 2" xfId="23444"/>
    <cellStyle name="Normal 34 10 2 3 2 2" xfId="23445"/>
    <cellStyle name="Normal 34 10 2 3 2_Forecast" xfId="23446"/>
    <cellStyle name="Normal 34 10 2 3 3" xfId="23447"/>
    <cellStyle name="Normal 34 10 2 3_Forecast" xfId="23448"/>
    <cellStyle name="Normal 34 10 2 4" xfId="23449"/>
    <cellStyle name="Normal 34 10 2 4 2" xfId="23450"/>
    <cellStyle name="Normal 34 10 2 4_Forecast" xfId="23451"/>
    <cellStyle name="Normal 34 10 2 5" xfId="23452"/>
    <cellStyle name="Normal 34 10 2 6" xfId="23453"/>
    <cellStyle name="Normal 34 10 2_Forecast" xfId="23454"/>
    <cellStyle name="Normal 34 10 3" xfId="8715"/>
    <cellStyle name="Normal 34 10 3 2" xfId="23455"/>
    <cellStyle name="Normal 34 10 3 2 2" xfId="23456"/>
    <cellStyle name="Normal 34 10 3 2_Forecast" xfId="23457"/>
    <cellStyle name="Normal 34 10 3 3" xfId="23458"/>
    <cellStyle name="Normal 34 10 3_Forecast" xfId="23459"/>
    <cellStyle name="Normal 34 10 4" xfId="12143"/>
    <cellStyle name="Normal 34 10 4 2" xfId="23460"/>
    <cellStyle name="Normal 34 10 4 2 2" xfId="23461"/>
    <cellStyle name="Normal 34 10 4 2_Forecast" xfId="23462"/>
    <cellStyle name="Normal 34 10 4 3" xfId="23463"/>
    <cellStyle name="Normal 34 10 4_Forecast" xfId="23464"/>
    <cellStyle name="Normal 34 10 5" xfId="23465"/>
    <cellStyle name="Normal 34 10 5 2" xfId="23466"/>
    <cellStyle name="Normal 34 10 5_Forecast" xfId="23467"/>
    <cellStyle name="Normal 34 10 6" xfId="23468"/>
    <cellStyle name="Normal 34 10 7" xfId="23469"/>
    <cellStyle name="Normal 34 10_Forecast" xfId="23470"/>
    <cellStyle name="Normal 34 11" xfId="3240"/>
    <cellStyle name="Normal 34 11 2" xfId="8646"/>
    <cellStyle name="Normal 34 11 2 2" xfId="9407"/>
    <cellStyle name="Normal 34 11 2 2 2" xfId="23471"/>
    <cellStyle name="Normal 34 11 2 2 2 2" xfId="23472"/>
    <cellStyle name="Normal 34 11 2 2 2_Forecast" xfId="23473"/>
    <cellStyle name="Normal 34 11 2 2 3" xfId="23474"/>
    <cellStyle name="Normal 34 11 2 2_Forecast" xfId="23475"/>
    <cellStyle name="Normal 34 11 2 3" xfId="23476"/>
    <cellStyle name="Normal 34 11 2 3 2" xfId="23477"/>
    <cellStyle name="Normal 34 11 2 3 2 2" xfId="23478"/>
    <cellStyle name="Normal 34 11 2 3 2_Forecast" xfId="23479"/>
    <cellStyle name="Normal 34 11 2 3 3" xfId="23480"/>
    <cellStyle name="Normal 34 11 2 3_Forecast" xfId="23481"/>
    <cellStyle name="Normal 34 11 2 4" xfId="23482"/>
    <cellStyle name="Normal 34 11 2 4 2" xfId="23483"/>
    <cellStyle name="Normal 34 11 2 4_Forecast" xfId="23484"/>
    <cellStyle name="Normal 34 11 2 5" xfId="23485"/>
    <cellStyle name="Normal 34 11 2 6" xfId="23486"/>
    <cellStyle name="Normal 34 11 2_Forecast" xfId="23487"/>
    <cellStyle name="Normal 34 11 3" xfId="8716"/>
    <cellStyle name="Normal 34 11 3 2" xfId="23488"/>
    <cellStyle name="Normal 34 11 3 2 2" xfId="23489"/>
    <cellStyle name="Normal 34 11 3 2_Forecast" xfId="23490"/>
    <cellStyle name="Normal 34 11 3 3" xfId="23491"/>
    <cellStyle name="Normal 34 11 3_Forecast" xfId="23492"/>
    <cellStyle name="Normal 34 11 4" xfId="12144"/>
    <cellStyle name="Normal 34 11 4 2" xfId="23493"/>
    <cellStyle name="Normal 34 11 4 2 2" xfId="23494"/>
    <cellStyle name="Normal 34 11 4 2_Forecast" xfId="23495"/>
    <cellStyle name="Normal 34 11 4 3" xfId="23496"/>
    <cellStyle name="Normal 34 11 4_Forecast" xfId="23497"/>
    <cellStyle name="Normal 34 11 5" xfId="23498"/>
    <cellStyle name="Normal 34 11 5 2" xfId="23499"/>
    <cellStyle name="Normal 34 11 5_Forecast" xfId="23500"/>
    <cellStyle name="Normal 34 11 6" xfId="23501"/>
    <cellStyle name="Normal 34 11 7" xfId="23502"/>
    <cellStyle name="Normal 34 11_Forecast" xfId="23503"/>
    <cellStyle name="Normal 34 12" xfId="3241"/>
    <cellStyle name="Normal 34 12 2" xfId="8647"/>
    <cellStyle name="Normal 34 12 2 2" xfId="9408"/>
    <cellStyle name="Normal 34 12 2 2 2" xfId="23504"/>
    <cellStyle name="Normal 34 12 2 2 2 2" xfId="23505"/>
    <cellStyle name="Normal 34 12 2 2 2_Forecast" xfId="23506"/>
    <cellStyle name="Normal 34 12 2 2 3" xfId="23507"/>
    <cellStyle name="Normal 34 12 2 2_Forecast" xfId="23508"/>
    <cellStyle name="Normal 34 12 2 3" xfId="23509"/>
    <cellStyle name="Normal 34 12 2 3 2" xfId="23510"/>
    <cellStyle name="Normal 34 12 2 3 2 2" xfId="23511"/>
    <cellStyle name="Normal 34 12 2 3 2_Forecast" xfId="23512"/>
    <cellStyle name="Normal 34 12 2 3 3" xfId="23513"/>
    <cellStyle name="Normal 34 12 2 3_Forecast" xfId="23514"/>
    <cellStyle name="Normal 34 12 2 4" xfId="23515"/>
    <cellStyle name="Normal 34 12 2 4 2" xfId="23516"/>
    <cellStyle name="Normal 34 12 2 4_Forecast" xfId="23517"/>
    <cellStyle name="Normal 34 12 2 5" xfId="23518"/>
    <cellStyle name="Normal 34 12 2 6" xfId="23519"/>
    <cellStyle name="Normal 34 12 2_Forecast" xfId="23520"/>
    <cellStyle name="Normal 34 12 3" xfId="8717"/>
    <cellStyle name="Normal 34 12 3 2" xfId="23521"/>
    <cellStyle name="Normal 34 12 3 2 2" xfId="23522"/>
    <cellStyle name="Normal 34 12 3 2_Forecast" xfId="23523"/>
    <cellStyle name="Normal 34 12 3 3" xfId="23524"/>
    <cellStyle name="Normal 34 12 3_Forecast" xfId="23525"/>
    <cellStyle name="Normal 34 12 4" xfId="12145"/>
    <cellStyle name="Normal 34 12 4 2" xfId="23526"/>
    <cellStyle name="Normal 34 12 4 2 2" xfId="23527"/>
    <cellStyle name="Normal 34 12 4 2_Forecast" xfId="23528"/>
    <cellStyle name="Normal 34 12 4 3" xfId="23529"/>
    <cellStyle name="Normal 34 12 4_Forecast" xfId="23530"/>
    <cellStyle name="Normal 34 12 5" xfId="23531"/>
    <cellStyle name="Normal 34 12 5 2" xfId="23532"/>
    <cellStyle name="Normal 34 12 5_Forecast" xfId="23533"/>
    <cellStyle name="Normal 34 12 6" xfId="23534"/>
    <cellStyle name="Normal 34 12 7" xfId="23535"/>
    <cellStyle name="Normal 34 12_Forecast" xfId="23536"/>
    <cellStyle name="Normal 34 13" xfId="3242"/>
    <cellStyle name="Normal 34 13 2" xfId="8648"/>
    <cellStyle name="Normal 34 13 2 2" xfId="9409"/>
    <cellStyle name="Normal 34 13 2 2 2" xfId="23537"/>
    <cellStyle name="Normal 34 13 2 2 2 2" xfId="23538"/>
    <cellStyle name="Normal 34 13 2 2 2_Forecast" xfId="23539"/>
    <cellStyle name="Normal 34 13 2 2 3" xfId="23540"/>
    <cellStyle name="Normal 34 13 2 2_Forecast" xfId="23541"/>
    <cellStyle name="Normal 34 13 2 3" xfId="23542"/>
    <cellStyle name="Normal 34 13 2 3 2" xfId="23543"/>
    <cellStyle name="Normal 34 13 2 3 2 2" xfId="23544"/>
    <cellStyle name="Normal 34 13 2 3 2_Forecast" xfId="23545"/>
    <cellStyle name="Normal 34 13 2 3 3" xfId="23546"/>
    <cellStyle name="Normal 34 13 2 3_Forecast" xfId="23547"/>
    <cellStyle name="Normal 34 13 2 4" xfId="23548"/>
    <cellStyle name="Normal 34 13 2 4 2" xfId="23549"/>
    <cellStyle name="Normal 34 13 2 4_Forecast" xfId="23550"/>
    <cellStyle name="Normal 34 13 2 5" xfId="23551"/>
    <cellStyle name="Normal 34 13 2 6" xfId="23552"/>
    <cellStyle name="Normal 34 13 2_Forecast" xfId="23553"/>
    <cellStyle name="Normal 34 13 3" xfId="8718"/>
    <cellStyle name="Normal 34 13 3 2" xfId="23554"/>
    <cellStyle name="Normal 34 13 3 2 2" xfId="23555"/>
    <cellStyle name="Normal 34 13 3 2_Forecast" xfId="23556"/>
    <cellStyle name="Normal 34 13 3 3" xfId="23557"/>
    <cellStyle name="Normal 34 13 3_Forecast" xfId="23558"/>
    <cellStyle name="Normal 34 13 4" xfId="12146"/>
    <cellStyle name="Normal 34 13 4 2" xfId="23559"/>
    <cellStyle name="Normal 34 13 4 2 2" xfId="23560"/>
    <cellStyle name="Normal 34 13 4 2_Forecast" xfId="23561"/>
    <cellStyle name="Normal 34 13 4 3" xfId="23562"/>
    <cellStyle name="Normal 34 13 4_Forecast" xfId="23563"/>
    <cellStyle name="Normal 34 13 5" xfId="23564"/>
    <cellStyle name="Normal 34 13 5 2" xfId="23565"/>
    <cellStyle name="Normal 34 13 5_Forecast" xfId="23566"/>
    <cellStyle name="Normal 34 13 6" xfId="23567"/>
    <cellStyle name="Normal 34 13 7" xfId="23568"/>
    <cellStyle name="Normal 34 13_Forecast" xfId="23569"/>
    <cellStyle name="Normal 34 14" xfId="3243"/>
    <cellStyle name="Normal 34 14 2" xfId="8649"/>
    <cellStyle name="Normal 34 14 2 2" xfId="9410"/>
    <cellStyle name="Normal 34 14 2 2 2" xfId="23570"/>
    <cellStyle name="Normal 34 14 2 2 2 2" xfId="23571"/>
    <cellStyle name="Normal 34 14 2 2 2_Forecast" xfId="23572"/>
    <cellStyle name="Normal 34 14 2 2 3" xfId="23573"/>
    <cellStyle name="Normal 34 14 2 2_Forecast" xfId="23574"/>
    <cellStyle name="Normal 34 14 2 3" xfId="23575"/>
    <cellStyle name="Normal 34 14 2 3 2" xfId="23576"/>
    <cellStyle name="Normal 34 14 2 3 2 2" xfId="23577"/>
    <cellStyle name="Normal 34 14 2 3 2_Forecast" xfId="23578"/>
    <cellStyle name="Normal 34 14 2 3 3" xfId="23579"/>
    <cellStyle name="Normal 34 14 2 3_Forecast" xfId="23580"/>
    <cellStyle name="Normal 34 14 2 4" xfId="23581"/>
    <cellStyle name="Normal 34 14 2 4 2" xfId="23582"/>
    <cellStyle name="Normal 34 14 2 4_Forecast" xfId="23583"/>
    <cellStyle name="Normal 34 14 2 5" xfId="23584"/>
    <cellStyle name="Normal 34 14 2 6" xfId="23585"/>
    <cellStyle name="Normal 34 14 2_Forecast" xfId="23586"/>
    <cellStyle name="Normal 34 14 3" xfId="8719"/>
    <cellStyle name="Normal 34 14 3 2" xfId="23587"/>
    <cellStyle name="Normal 34 14 3 2 2" xfId="23588"/>
    <cellStyle name="Normal 34 14 3 2_Forecast" xfId="23589"/>
    <cellStyle name="Normal 34 14 3 3" xfId="23590"/>
    <cellStyle name="Normal 34 14 3_Forecast" xfId="23591"/>
    <cellStyle name="Normal 34 14 4" xfId="12147"/>
    <cellStyle name="Normal 34 14 4 2" xfId="23592"/>
    <cellStyle name="Normal 34 14 4 2 2" xfId="23593"/>
    <cellStyle name="Normal 34 14 4 2_Forecast" xfId="23594"/>
    <cellStyle name="Normal 34 14 4 3" xfId="23595"/>
    <cellStyle name="Normal 34 14 4_Forecast" xfId="23596"/>
    <cellStyle name="Normal 34 14 5" xfId="23597"/>
    <cellStyle name="Normal 34 14 5 2" xfId="23598"/>
    <cellStyle name="Normal 34 14 5_Forecast" xfId="23599"/>
    <cellStyle name="Normal 34 14 6" xfId="23600"/>
    <cellStyle name="Normal 34 14 7" xfId="23601"/>
    <cellStyle name="Normal 34 14_Forecast" xfId="23602"/>
    <cellStyle name="Normal 34 15" xfId="3244"/>
    <cellStyle name="Normal 34 15 2" xfId="8650"/>
    <cellStyle name="Normal 34 15 2 2" xfId="9411"/>
    <cellStyle name="Normal 34 15 2 2 2" xfId="23603"/>
    <cellStyle name="Normal 34 15 2 2 2 2" xfId="23604"/>
    <cellStyle name="Normal 34 15 2 2 2_Forecast" xfId="23605"/>
    <cellStyle name="Normal 34 15 2 2 3" xfId="23606"/>
    <cellStyle name="Normal 34 15 2 2_Forecast" xfId="23607"/>
    <cellStyle name="Normal 34 15 2 3" xfId="23608"/>
    <cellStyle name="Normal 34 15 2 3 2" xfId="23609"/>
    <cellStyle name="Normal 34 15 2 3 2 2" xfId="23610"/>
    <cellStyle name="Normal 34 15 2 3 2_Forecast" xfId="23611"/>
    <cellStyle name="Normal 34 15 2 3 3" xfId="23612"/>
    <cellStyle name="Normal 34 15 2 3_Forecast" xfId="23613"/>
    <cellStyle name="Normal 34 15 2 4" xfId="23614"/>
    <cellStyle name="Normal 34 15 2 4 2" xfId="23615"/>
    <cellStyle name="Normal 34 15 2 4_Forecast" xfId="23616"/>
    <cellStyle name="Normal 34 15 2 5" xfId="23617"/>
    <cellStyle name="Normal 34 15 2 6" xfId="23618"/>
    <cellStyle name="Normal 34 15 2_Forecast" xfId="23619"/>
    <cellStyle name="Normal 34 15 3" xfId="8720"/>
    <cellStyle name="Normal 34 15 3 2" xfId="23620"/>
    <cellStyle name="Normal 34 15 3 2 2" xfId="23621"/>
    <cellStyle name="Normal 34 15 3 2_Forecast" xfId="23622"/>
    <cellStyle name="Normal 34 15 3 3" xfId="23623"/>
    <cellStyle name="Normal 34 15 3_Forecast" xfId="23624"/>
    <cellStyle name="Normal 34 15 4" xfId="12148"/>
    <cellStyle name="Normal 34 15 4 2" xfId="23625"/>
    <cellStyle name="Normal 34 15 4 2 2" xfId="23626"/>
    <cellStyle name="Normal 34 15 4 2_Forecast" xfId="23627"/>
    <cellStyle name="Normal 34 15 4 3" xfId="23628"/>
    <cellStyle name="Normal 34 15 4_Forecast" xfId="23629"/>
    <cellStyle name="Normal 34 15 5" xfId="23630"/>
    <cellStyle name="Normal 34 15 5 2" xfId="23631"/>
    <cellStyle name="Normal 34 15 5_Forecast" xfId="23632"/>
    <cellStyle name="Normal 34 15 6" xfId="23633"/>
    <cellStyle name="Normal 34 15 7" xfId="23634"/>
    <cellStyle name="Normal 34 15_Forecast" xfId="23635"/>
    <cellStyle name="Normal 34 16" xfId="3245"/>
    <cellStyle name="Normal 34 16 2" xfId="8651"/>
    <cellStyle name="Normal 34 16 2 2" xfId="9412"/>
    <cellStyle name="Normal 34 16 2 2 2" xfId="23636"/>
    <cellStyle name="Normal 34 16 2 2 2 2" xfId="23637"/>
    <cellStyle name="Normal 34 16 2 2 2_Forecast" xfId="23638"/>
    <cellStyle name="Normal 34 16 2 2 3" xfId="23639"/>
    <cellStyle name="Normal 34 16 2 2_Forecast" xfId="23640"/>
    <cellStyle name="Normal 34 16 2 3" xfId="23641"/>
    <cellStyle name="Normal 34 16 2 3 2" xfId="23642"/>
    <cellStyle name="Normal 34 16 2 3 2 2" xfId="23643"/>
    <cellStyle name="Normal 34 16 2 3 2_Forecast" xfId="23644"/>
    <cellStyle name="Normal 34 16 2 3 3" xfId="23645"/>
    <cellStyle name="Normal 34 16 2 3_Forecast" xfId="23646"/>
    <cellStyle name="Normal 34 16 2 4" xfId="23647"/>
    <cellStyle name="Normal 34 16 2 4 2" xfId="23648"/>
    <cellStyle name="Normal 34 16 2 4_Forecast" xfId="23649"/>
    <cellStyle name="Normal 34 16 2 5" xfId="23650"/>
    <cellStyle name="Normal 34 16 2 6" xfId="23651"/>
    <cellStyle name="Normal 34 16 2_Forecast" xfId="23652"/>
    <cellStyle name="Normal 34 16 3" xfId="8721"/>
    <cellStyle name="Normal 34 16 3 2" xfId="23653"/>
    <cellStyle name="Normal 34 16 3 2 2" xfId="23654"/>
    <cellStyle name="Normal 34 16 3 2_Forecast" xfId="23655"/>
    <cellStyle name="Normal 34 16 3 3" xfId="23656"/>
    <cellStyle name="Normal 34 16 3_Forecast" xfId="23657"/>
    <cellStyle name="Normal 34 16 4" xfId="12149"/>
    <cellStyle name="Normal 34 16 4 2" xfId="23658"/>
    <cellStyle name="Normal 34 16 4 2 2" xfId="23659"/>
    <cellStyle name="Normal 34 16 4 2_Forecast" xfId="23660"/>
    <cellStyle name="Normal 34 16 4 3" xfId="23661"/>
    <cellStyle name="Normal 34 16 4_Forecast" xfId="23662"/>
    <cellStyle name="Normal 34 16 5" xfId="23663"/>
    <cellStyle name="Normal 34 16 5 2" xfId="23664"/>
    <cellStyle name="Normal 34 16 5_Forecast" xfId="23665"/>
    <cellStyle name="Normal 34 16 6" xfId="23666"/>
    <cellStyle name="Normal 34 16 7" xfId="23667"/>
    <cellStyle name="Normal 34 16_Forecast" xfId="23668"/>
    <cellStyle name="Normal 34 17" xfId="3246"/>
    <cellStyle name="Normal 34 17 2" xfId="8652"/>
    <cellStyle name="Normal 34 17 2 2" xfId="9413"/>
    <cellStyle name="Normal 34 17 2 2 2" xfId="23669"/>
    <cellStyle name="Normal 34 17 2 2 2 2" xfId="23670"/>
    <cellStyle name="Normal 34 17 2 2 2_Forecast" xfId="23671"/>
    <cellStyle name="Normal 34 17 2 2 3" xfId="23672"/>
    <cellStyle name="Normal 34 17 2 2_Forecast" xfId="23673"/>
    <cellStyle name="Normal 34 17 2 3" xfId="23674"/>
    <cellStyle name="Normal 34 17 2 3 2" xfId="23675"/>
    <cellStyle name="Normal 34 17 2 3 2 2" xfId="23676"/>
    <cellStyle name="Normal 34 17 2 3 2_Forecast" xfId="23677"/>
    <cellStyle name="Normal 34 17 2 3 3" xfId="23678"/>
    <cellStyle name="Normal 34 17 2 3_Forecast" xfId="23679"/>
    <cellStyle name="Normal 34 17 2 4" xfId="23680"/>
    <cellStyle name="Normal 34 17 2 4 2" xfId="23681"/>
    <cellStyle name="Normal 34 17 2 4_Forecast" xfId="23682"/>
    <cellStyle name="Normal 34 17 2 5" xfId="23683"/>
    <cellStyle name="Normal 34 17 2 6" xfId="23684"/>
    <cellStyle name="Normal 34 17 2_Forecast" xfId="23685"/>
    <cellStyle name="Normal 34 17 3" xfId="8722"/>
    <cellStyle name="Normal 34 17 3 2" xfId="23686"/>
    <cellStyle name="Normal 34 17 3 2 2" xfId="23687"/>
    <cellStyle name="Normal 34 17 3 2_Forecast" xfId="23688"/>
    <cellStyle name="Normal 34 17 3 3" xfId="23689"/>
    <cellStyle name="Normal 34 17 3_Forecast" xfId="23690"/>
    <cellStyle name="Normal 34 17 4" xfId="12150"/>
    <cellStyle name="Normal 34 17 4 2" xfId="23691"/>
    <cellStyle name="Normal 34 17 4 2 2" xfId="23692"/>
    <cellStyle name="Normal 34 17 4 2_Forecast" xfId="23693"/>
    <cellStyle name="Normal 34 17 4 3" xfId="23694"/>
    <cellStyle name="Normal 34 17 4_Forecast" xfId="23695"/>
    <cellStyle name="Normal 34 17 5" xfId="23696"/>
    <cellStyle name="Normal 34 17 5 2" xfId="23697"/>
    <cellStyle name="Normal 34 17 5_Forecast" xfId="23698"/>
    <cellStyle name="Normal 34 17 6" xfId="23699"/>
    <cellStyle name="Normal 34 17 7" xfId="23700"/>
    <cellStyle name="Normal 34 17_Forecast" xfId="23701"/>
    <cellStyle name="Normal 34 18" xfId="3247"/>
    <cellStyle name="Normal 34 18 2" xfId="8653"/>
    <cellStyle name="Normal 34 18 2 2" xfId="9414"/>
    <cellStyle name="Normal 34 18 2 2 2" xfId="23702"/>
    <cellStyle name="Normal 34 18 2 2 2 2" xfId="23703"/>
    <cellStyle name="Normal 34 18 2 2 2_Forecast" xfId="23704"/>
    <cellStyle name="Normal 34 18 2 2 3" xfId="23705"/>
    <cellStyle name="Normal 34 18 2 2_Forecast" xfId="23706"/>
    <cellStyle name="Normal 34 18 2 3" xfId="23707"/>
    <cellStyle name="Normal 34 18 2 3 2" xfId="23708"/>
    <cellStyle name="Normal 34 18 2 3 2 2" xfId="23709"/>
    <cellStyle name="Normal 34 18 2 3 2_Forecast" xfId="23710"/>
    <cellStyle name="Normal 34 18 2 3 3" xfId="23711"/>
    <cellStyle name="Normal 34 18 2 3_Forecast" xfId="23712"/>
    <cellStyle name="Normal 34 18 2 4" xfId="23713"/>
    <cellStyle name="Normal 34 18 2 4 2" xfId="23714"/>
    <cellStyle name="Normal 34 18 2 4_Forecast" xfId="23715"/>
    <cellStyle name="Normal 34 18 2 5" xfId="23716"/>
    <cellStyle name="Normal 34 18 2 6" xfId="23717"/>
    <cellStyle name="Normal 34 18 2_Forecast" xfId="23718"/>
    <cellStyle name="Normal 34 18 3" xfId="8723"/>
    <cellStyle name="Normal 34 18 3 2" xfId="23719"/>
    <cellStyle name="Normal 34 18 3 2 2" xfId="23720"/>
    <cellStyle name="Normal 34 18 3 2_Forecast" xfId="23721"/>
    <cellStyle name="Normal 34 18 3 3" xfId="23722"/>
    <cellStyle name="Normal 34 18 3_Forecast" xfId="23723"/>
    <cellStyle name="Normal 34 18 4" xfId="12151"/>
    <cellStyle name="Normal 34 18 4 2" xfId="23724"/>
    <cellStyle name="Normal 34 18 4 2 2" xfId="23725"/>
    <cellStyle name="Normal 34 18 4 2_Forecast" xfId="23726"/>
    <cellStyle name="Normal 34 18 4 3" xfId="23727"/>
    <cellStyle name="Normal 34 18 4_Forecast" xfId="23728"/>
    <cellStyle name="Normal 34 18 5" xfId="23729"/>
    <cellStyle name="Normal 34 18 5 2" xfId="23730"/>
    <cellStyle name="Normal 34 18 5_Forecast" xfId="23731"/>
    <cellStyle name="Normal 34 18 6" xfId="23732"/>
    <cellStyle name="Normal 34 18 7" xfId="23733"/>
    <cellStyle name="Normal 34 18_Forecast" xfId="23734"/>
    <cellStyle name="Normal 34 19" xfId="3248"/>
    <cellStyle name="Normal 34 19 2" xfId="8654"/>
    <cellStyle name="Normal 34 19 2 2" xfId="9415"/>
    <cellStyle name="Normal 34 19 2 2 2" xfId="23735"/>
    <cellStyle name="Normal 34 19 2 2 2 2" xfId="23736"/>
    <cellStyle name="Normal 34 19 2 2 2_Forecast" xfId="23737"/>
    <cellStyle name="Normal 34 19 2 2 3" xfId="23738"/>
    <cellStyle name="Normal 34 19 2 2_Forecast" xfId="23739"/>
    <cellStyle name="Normal 34 19 2 3" xfId="23740"/>
    <cellStyle name="Normal 34 19 2 3 2" xfId="23741"/>
    <cellStyle name="Normal 34 19 2 3 2 2" xfId="23742"/>
    <cellStyle name="Normal 34 19 2 3 2_Forecast" xfId="23743"/>
    <cellStyle name="Normal 34 19 2 3 3" xfId="23744"/>
    <cellStyle name="Normal 34 19 2 3_Forecast" xfId="23745"/>
    <cellStyle name="Normal 34 19 2 4" xfId="23746"/>
    <cellStyle name="Normal 34 19 2 4 2" xfId="23747"/>
    <cellStyle name="Normal 34 19 2 4_Forecast" xfId="23748"/>
    <cellStyle name="Normal 34 19 2 5" xfId="23749"/>
    <cellStyle name="Normal 34 19 2 6" xfId="23750"/>
    <cellStyle name="Normal 34 19 2_Forecast" xfId="23751"/>
    <cellStyle name="Normal 34 19 3" xfId="8724"/>
    <cellStyle name="Normal 34 19 3 2" xfId="23752"/>
    <cellStyle name="Normal 34 19 3 2 2" xfId="23753"/>
    <cellStyle name="Normal 34 19 3 2_Forecast" xfId="23754"/>
    <cellStyle name="Normal 34 19 3 3" xfId="23755"/>
    <cellStyle name="Normal 34 19 3_Forecast" xfId="23756"/>
    <cellStyle name="Normal 34 19 4" xfId="12152"/>
    <cellStyle name="Normal 34 19 4 2" xfId="23757"/>
    <cellStyle name="Normal 34 19 4 2 2" xfId="23758"/>
    <cellStyle name="Normal 34 19 4 2_Forecast" xfId="23759"/>
    <cellStyle name="Normal 34 19 4 3" xfId="23760"/>
    <cellStyle name="Normal 34 19 4_Forecast" xfId="23761"/>
    <cellStyle name="Normal 34 19 5" xfId="23762"/>
    <cellStyle name="Normal 34 19 5 2" xfId="23763"/>
    <cellStyle name="Normal 34 19 5_Forecast" xfId="23764"/>
    <cellStyle name="Normal 34 19 6" xfId="23765"/>
    <cellStyle name="Normal 34 19 7" xfId="23766"/>
    <cellStyle name="Normal 34 19_Forecast" xfId="23767"/>
    <cellStyle name="Normal 34 2" xfId="3249"/>
    <cellStyle name="Normal 34 2 10" xfId="3250"/>
    <cellStyle name="Normal 34 2 11" xfId="3251"/>
    <cellStyle name="Normal 34 2 12" xfId="3252"/>
    <cellStyle name="Normal 34 2 13" xfId="3253"/>
    <cellStyle name="Normal 34 2 14" xfId="3254"/>
    <cellStyle name="Normal 34 2 15" xfId="3255"/>
    <cellStyle name="Normal 34 2 16" xfId="3256"/>
    <cellStyle name="Normal 34 2 17" xfId="3257"/>
    <cellStyle name="Normal 34 2 18" xfId="3258"/>
    <cellStyle name="Normal 34 2 19" xfId="3259"/>
    <cellStyle name="Normal 34 2 2" xfId="3260"/>
    <cellStyle name="Normal 34 2 2 2" xfId="3261"/>
    <cellStyle name="Normal 34 2 2 3" xfId="3262"/>
    <cellStyle name="Normal 34 2 2 4" xfId="8655"/>
    <cellStyle name="Normal 34 2 2 4 2" xfId="9416"/>
    <cellStyle name="Normal 34 2 2 4 2 2" xfId="23768"/>
    <cellStyle name="Normal 34 2 2 4 2 2 2" xfId="23769"/>
    <cellStyle name="Normal 34 2 2 4 2 2_Forecast" xfId="23770"/>
    <cellStyle name="Normal 34 2 2 4 2 3" xfId="23771"/>
    <cellStyle name="Normal 34 2 2 4 2_Forecast" xfId="23772"/>
    <cellStyle name="Normal 34 2 2 4 3" xfId="23773"/>
    <cellStyle name="Normal 34 2 2 4 3 2" xfId="23774"/>
    <cellStyle name="Normal 34 2 2 4 3 2 2" xfId="23775"/>
    <cellStyle name="Normal 34 2 2 4 3 2_Forecast" xfId="23776"/>
    <cellStyle name="Normal 34 2 2 4 3 3" xfId="23777"/>
    <cellStyle name="Normal 34 2 2 4 3_Forecast" xfId="23778"/>
    <cellStyle name="Normal 34 2 2 4 4" xfId="23779"/>
    <cellStyle name="Normal 34 2 2 4 4 2" xfId="23780"/>
    <cellStyle name="Normal 34 2 2 4 4_Forecast" xfId="23781"/>
    <cellStyle name="Normal 34 2 2 4 5" xfId="23782"/>
    <cellStyle name="Normal 34 2 2 4 6" xfId="23783"/>
    <cellStyle name="Normal 34 2 2 4_Forecast" xfId="23784"/>
    <cellStyle name="Normal 34 2 2 5" xfId="8725"/>
    <cellStyle name="Normal 34 2 2 5 2" xfId="23785"/>
    <cellStyle name="Normal 34 2 2 5 2 2" xfId="23786"/>
    <cellStyle name="Normal 34 2 2 5 2_Forecast" xfId="23787"/>
    <cellStyle name="Normal 34 2 2 5 3" xfId="23788"/>
    <cellStyle name="Normal 34 2 2 5_Forecast" xfId="23789"/>
    <cellStyle name="Normal 34 2 2 6" xfId="12153"/>
    <cellStyle name="Normal 34 2 2 6 2" xfId="23790"/>
    <cellStyle name="Normal 34 2 2 6 2 2" xfId="23791"/>
    <cellStyle name="Normal 34 2 2 6 2_Forecast" xfId="23792"/>
    <cellStyle name="Normal 34 2 2 6 3" xfId="23793"/>
    <cellStyle name="Normal 34 2 2 6_Forecast" xfId="23794"/>
    <cellStyle name="Normal 34 2 2 7" xfId="23795"/>
    <cellStyle name="Normal 34 2 2 7 2" xfId="23796"/>
    <cellStyle name="Normal 34 2 2 7 2 2" xfId="23797"/>
    <cellStyle name="Normal 34 2 2 7 2_Forecast" xfId="23798"/>
    <cellStyle name="Normal 34 2 2 7 3" xfId="23799"/>
    <cellStyle name="Normal 34 2 2 7_Forecast" xfId="23800"/>
    <cellStyle name="Normal 34 2 2 8" xfId="23801"/>
    <cellStyle name="Normal 34 2 2_Forecast" xfId="23802"/>
    <cellStyle name="Normal 34 2 20" xfId="3263"/>
    <cellStyle name="Normal 34 2 21" xfId="3264"/>
    <cellStyle name="Normal 34 2 22" xfId="3265"/>
    <cellStyle name="Normal 34 2 22 2" xfId="8656"/>
    <cellStyle name="Normal 34 2 22 2 2" xfId="9417"/>
    <cellStyle name="Normal 34 2 22 2 2 2" xfId="23803"/>
    <cellStyle name="Normal 34 2 22 2 2 2 2" xfId="23804"/>
    <cellStyle name="Normal 34 2 22 2 2 2_Forecast" xfId="23805"/>
    <cellStyle name="Normal 34 2 22 2 2 3" xfId="23806"/>
    <cellStyle name="Normal 34 2 22 2 2_Forecast" xfId="23807"/>
    <cellStyle name="Normal 34 2 22 2 3" xfId="23808"/>
    <cellStyle name="Normal 34 2 22 2 3 2" xfId="23809"/>
    <cellStyle name="Normal 34 2 22 2 3 2 2" xfId="23810"/>
    <cellStyle name="Normal 34 2 22 2 3 2_Forecast" xfId="23811"/>
    <cellStyle name="Normal 34 2 22 2 3 3" xfId="23812"/>
    <cellStyle name="Normal 34 2 22 2 3_Forecast" xfId="23813"/>
    <cellStyle name="Normal 34 2 22 2 4" xfId="23814"/>
    <cellStyle name="Normal 34 2 22 2 4 2" xfId="23815"/>
    <cellStyle name="Normal 34 2 22 2 4_Forecast" xfId="23816"/>
    <cellStyle name="Normal 34 2 22 2 5" xfId="23817"/>
    <cellStyle name="Normal 34 2 22 2 6" xfId="23818"/>
    <cellStyle name="Normal 34 2 22 2_Forecast" xfId="23819"/>
    <cellStyle name="Normal 34 2 22 3" xfId="8726"/>
    <cellStyle name="Normal 34 2 22 3 2" xfId="23820"/>
    <cellStyle name="Normal 34 2 22 3 2 2" xfId="23821"/>
    <cellStyle name="Normal 34 2 22 3 2_Forecast" xfId="23822"/>
    <cellStyle name="Normal 34 2 22 3 3" xfId="23823"/>
    <cellStyle name="Normal 34 2 22 3_Forecast" xfId="23824"/>
    <cellStyle name="Normal 34 2 22 4" xfId="12154"/>
    <cellStyle name="Normal 34 2 22 4 2" xfId="23825"/>
    <cellStyle name="Normal 34 2 22 4 2 2" xfId="23826"/>
    <cellStyle name="Normal 34 2 22 4 2_Forecast" xfId="23827"/>
    <cellStyle name="Normal 34 2 22 4 3" xfId="23828"/>
    <cellStyle name="Normal 34 2 22 4_Forecast" xfId="23829"/>
    <cellStyle name="Normal 34 2 22 5" xfId="23830"/>
    <cellStyle name="Normal 34 2 22 5 2" xfId="23831"/>
    <cellStyle name="Normal 34 2 22 5_Forecast" xfId="23832"/>
    <cellStyle name="Normal 34 2 22 6" xfId="23833"/>
    <cellStyle name="Normal 34 2 22 7" xfId="23834"/>
    <cellStyle name="Normal 34 2 22_Forecast" xfId="23835"/>
    <cellStyle name="Normal 34 2 23" xfId="23836"/>
    <cellStyle name="Normal 34 2 23 2" xfId="23837"/>
    <cellStyle name="Normal 34 2 23_Forecast" xfId="23838"/>
    <cellStyle name="Normal 34 2 24" xfId="23839"/>
    <cellStyle name="Normal 34 2 25" xfId="23840"/>
    <cellStyle name="Normal 34 2 3" xfId="3266"/>
    <cellStyle name="Normal 34 2 4" xfId="3267"/>
    <cellStyle name="Normal 34 2 5" xfId="3268"/>
    <cellStyle name="Normal 34 2 6" xfId="3269"/>
    <cellStyle name="Normal 34 2 7" xfId="3270"/>
    <cellStyle name="Normal 34 2 8" xfId="3271"/>
    <cellStyle name="Normal 34 2 9" xfId="3272"/>
    <cellStyle name="Normal 34 2_Forecast" xfId="23841"/>
    <cellStyle name="Normal 34 20" xfId="3273"/>
    <cellStyle name="Normal 34 20 2" xfId="8657"/>
    <cellStyle name="Normal 34 20 2 2" xfId="9418"/>
    <cellStyle name="Normal 34 20 2 2 2" xfId="23842"/>
    <cellStyle name="Normal 34 20 2 2 2 2" xfId="23843"/>
    <cellStyle name="Normal 34 20 2 2 2_Forecast" xfId="23844"/>
    <cellStyle name="Normal 34 20 2 2 3" xfId="23845"/>
    <cellStyle name="Normal 34 20 2 2_Forecast" xfId="23846"/>
    <cellStyle name="Normal 34 20 2 3" xfId="23847"/>
    <cellStyle name="Normal 34 20 2 3 2" xfId="23848"/>
    <cellStyle name="Normal 34 20 2 3 2 2" xfId="23849"/>
    <cellStyle name="Normal 34 20 2 3 2_Forecast" xfId="23850"/>
    <cellStyle name="Normal 34 20 2 3 3" xfId="23851"/>
    <cellStyle name="Normal 34 20 2 3_Forecast" xfId="23852"/>
    <cellStyle name="Normal 34 20 2 4" xfId="23853"/>
    <cellStyle name="Normal 34 20 2 4 2" xfId="23854"/>
    <cellStyle name="Normal 34 20 2 4_Forecast" xfId="23855"/>
    <cellStyle name="Normal 34 20 2 5" xfId="23856"/>
    <cellStyle name="Normal 34 20 2 6" xfId="23857"/>
    <cellStyle name="Normal 34 20 2_Forecast" xfId="23858"/>
    <cellStyle name="Normal 34 20 3" xfId="8727"/>
    <cellStyle name="Normal 34 20 3 2" xfId="23859"/>
    <cellStyle name="Normal 34 20 3 2 2" xfId="23860"/>
    <cellStyle name="Normal 34 20 3 2_Forecast" xfId="23861"/>
    <cellStyle name="Normal 34 20 3 3" xfId="23862"/>
    <cellStyle name="Normal 34 20 3_Forecast" xfId="23863"/>
    <cellStyle name="Normal 34 20 4" xfId="12155"/>
    <cellStyle name="Normal 34 20 4 2" xfId="23864"/>
    <cellStyle name="Normal 34 20 4 2 2" xfId="23865"/>
    <cellStyle name="Normal 34 20 4 2_Forecast" xfId="23866"/>
    <cellStyle name="Normal 34 20 4 3" xfId="23867"/>
    <cellStyle name="Normal 34 20 4_Forecast" xfId="23868"/>
    <cellStyle name="Normal 34 20 5" xfId="23869"/>
    <cellStyle name="Normal 34 20 5 2" xfId="23870"/>
    <cellStyle name="Normal 34 20 5_Forecast" xfId="23871"/>
    <cellStyle name="Normal 34 20 6" xfId="23872"/>
    <cellStyle name="Normal 34 20 7" xfId="23873"/>
    <cellStyle name="Normal 34 20_Forecast" xfId="23874"/>
    <cellStyle name="Normal 34 21" xfId="3274"/>
    <cellStyle name="Normal 34 21 2" xfId="8658"/>
    <cellStyle name="Normal 34 21 2 2" xfId="9419"/>
    <cellStyle name="Normal 34 21 2 2 2" xfId="23875"/>
    <cellStyle name="Normal 34 21 2 2 2 2" xfId="23876"/>
    <cellStyle name="Normal 34 21 2 2 2_Forecast" xfId="23877"/>
    <cellStyle name="Normal 34 21 2 2 3" xfId="23878"/>
    <cellStyle name="Normal 34 21 2 2_Forecast" xfId="23879"/>
    <cellStyle name="Normal 34 21 2 3" xfId="23880"/>
    <cellStyle name="Normal 34 21 2 3 2" xfId="23881"/>
    <cellStyle name="Normal 34 21 2 3 2 2" xfId="23882"/>
    <cellStyle name="Normal 34 21 2 3 2_Forecast" xfId="23883"/>
    <cellStyle name="Normal 34 21 2 3 3" xfId="23884"/>
    <cellStyle name="Normal 34 21 2 3_Forecast" xfId="23885"/>
    <cellStyle name="Normal 34 21 2 4" xfId="23886"/>
    <cellStyle name="Normal 34 21 2 4 2" xfId="23887"/>
    <cellStyle name="Normal 34 21 2 4_Forecast" xfId="23888"/>
    <cellStyle name="Normal 34 21 2 5" xfId="23889"/>
    <cellStyle name="Normal 34 21 2 6" xfId="23890"/>
    <cellStyle name="Normal 34 21 2_Forecast" xfId="23891"/>
    <cellStyle name="Normal 34 21 3" xfId="8728"/>
    <cellStyle name="Normal 34 21 3 2" xfId="23892"/>
    <cellStyle name="Normal 34 21 3 2 2" xfId="23893"/>
    <cellStyle name="Normal 34 21 3 2_Forecast" xfId="23894"/>
    <cellStyle name="Normal 34 21 3 3" xfId="23895"/>
    <cellStyle name="Normal 34 21 3_Forecast" xfId="23896"/>
    <cellStyle name="Normal 34 21 4" xfId="12156"/>
    <cellStyle name="Normal 34 21 4 2" xfId="23897"/>
    <cellStyle name="Normal 34 21 4 2 2" xfId="23898"/>
    <cellStyle name="Normal 34 21 4 2_Forecast" xfId="23899"/>
    <cellStyle name="Normal 34 21 4 3" xfId="23900"/>
    <cellStyle name="Normal 34 21 4_Forecast" xfId="23901"/>
    <cellStyle name="Normal 34 21 5" xfId="23902"/>
    <cellStyle name="Normal 34 21 5 2" xfId="23903"/>
    <cellStyle name="Normal 34 21 5_Forecast" xfId="23904"/>
    <cellStyle name="Normal 34 21 6" xfId="23905"/>
    <cellStyle name="Normal 34 21 7" xfId="23906"/>
    <cellStyle name="Normal 34 21_Forecast" xfId="23907"/>
    <cellStyle name="Normal 34 22" xfId="3275"/>
    <cellStyle name="Normal 34 22 2" xfId="8659"/>
    <cellStyle name="Normal 34 22 2 2" xfId="9420"/>
    <cellStyle name="Normal 34 22 2 2 2" xfId="23908"/>
    <cellStyle name="Normal 34 22 2 2 2 2" xfId="23909"/>
    <cellStyle name="Normal 34 22 2 2 2_Forecast" xfId="23910"/>
    <cellStyle name="Normal 34 22 2 2 3" xfId="23911"/>
    <cellStyle name="Normal 34 22 2 2_Forecast" xfId="23912"/>
    <cellStyle name="Normal 34 22 2 3" xfId="23913"/>
    <cellStyle name="Normal 34 22 2 3 2" xfId="23914"/>
    <cellStyle name="Normal 34 22 2 3 2 2" xfId="23915"/>
    <cellStyle name="Normal 34 22 2 3 2_Forecast" xfId="23916"/>
    <cellStyle name="Normal 34 22 2 3 3" xfId="23917"/>
    <cellStyle name="Normal 34 22 2 3_Forecast" xfId="23918"/>
    <cellStyle name="Normal 34 22 2 4" xfId="23919"/>
    <cellStyle name="Normal 34 22 2 4 2" xfId="23920"/>
    <cellStyle name="Normal 34 22 2 4_Forecast" xfId="23921"/>
    <cellStyle name="Normal 34 22 2 5" xfId="23922"/>
    <cellStyle name="Normal 34 22 2 6" xfId="23923"/>
    <cellStyle name="Normal 34 22 2_Forecast" xfId="23924"/>
    <cellStyle name="Normal 34 22 3" xfId="8729"/>
    <cellStyle name="Normal 34 22 3 2" xfId="23925"/>
    <cellStyle name="Normal 34 22 3 2 2" xfId="23926"/>
    <cellStyle name="Normal 34 22 3 2_Forecast" xfId="23927"/>
    <cellStyle name="Normal 34 22 3 3" xfId="23928"/>
    <cellStyle name="Normal 34 22 3_Forecast" xfId="23929"/>
    <cellStyle name="Normal 34 22 4" xfId="12157"/>
    <cellStyle name="Normal 34 22 4 2" xfId="23930"/>
    <cellStyle name="Normal 34 22 4 2 2" xfId="23931"/>
    <cellStyle name="Normal 34 22 4 2_Forecast" xfId="23932"/>
    <cellStyle name="Normal 34 22 4 3" xfId="23933"/>
    <cellStyle name="Normal 34 22 4_Forecast" xfId="23934"/>
    <cellStyle name="Normal 34 22 5" xfId="23935"/>
    <cellStyle name="Normal 34 22 5 2" xfId="23936"/>
    <cellStyle name="Normal 34 22 5_Forecast" xfId="23937"/>
    <cellStyle name="Normal 34 22 6" xfId="23938"/>
    <cellStyle name="Normal 34 22 7" xfId="23939"/>
    <cellStyle name="Normal 34 22_Forecast" xfId="23940"/>
    <cellStyle name="Normal 34 23" xfId="3276"/>
    <cellStyle name="Normal 34 23 2" xfId="8660"/>
    <cellStyle name="Normal 34 23 2 2" xfId="9421"/>
    <cellStyle name="Normal 34 23 2 2 2" xfId="23941"/>
    <cellStyle name="Normal 34 23 2 2 2 2" xfId="23942"/>
    <cellStyle name="Normal 34 23 2 2 2_Forecast" xfId="23943"/>
    <cellStyle name="Normal 34 23 2 2 3" xfId="23944"/>
    <cellStyle name="Normal 34 23 2 2_Forecast" xfId="23945"/>
    <cellStyle name="Normal 34 23 2 3" xfId="23946"/>
    <cellStyle name="Normal 34 23 2 3 2" xfId="23947"/>
    <cellStyle name="Normal 34 23 2 3 2 2" xfId="23948"/>
    <cellStyle name="Normal 34 23 2 3 2_Forecast" xfId="23949"/>
    <cellStyle name="Normal 34 23 2 3 3" xfId="23950"/>
    <cellStyle name="Normal 34 23 2 3_Forecast" xfId="23951"/>
    <cellStyle name="Normal 34 23 2 4" xfId="23952"/>
    <cellStyle name="Normal 34 23 2 4 2" xfId="23953"/>
    <cellStyle name="Normal 34 23 2 4_Forecast" xfId="23954"/>
    <cellStyle name="Normal 34 23 2 5" xfId="23955"/>
    <cellStyle name="Normal 34 23 2 6" xfId="23956"/>
    <cellStyle name="Normal 34 23 2_Forecast" xfId="23957"/>
    <cellStyle name="Normal 34 23 3" xfId="8730"/>
    <cellStyle name="Normal 34 23 3 2" xfId="23958"/>
    <cellStyle name="Normal 34 23 3 2 2" xfId="23959"/>
    <cellStyle name="Normal 34 23 3 2_Forecast" xfId="23960"/>
    <cellStyle name="Normal 34 23 3 3" xfId="23961"/>
    <cellStyle name="Normal 34 23 3_Forecast" xfId="23962"/>
    <cellStyle name="Normal 34 23 4" xfId="12158"/>
    <cellStyle name="Normal 34 23 4 2" xfId="23963"/>
    <cellStyle name="Normal 34 23 4 2 2" xfId="23964"/>
    <cellStyle name="Normal 34 23 4 2_Forecast" xfId="23965"/>
    <cellStyle name="Normal 34 23 4 3" xfId="23966"/>
    <cellStyle name="Normal 34 23 4_Forecast" xfId="23967"/>
    <cellStyle name="Normal 34 23 5" xfId="23968"/>
    <cellStyle name="Normal 34 23 5 2" xfId="23969"/>
    <cellStyle name="Normal 34 23 5_Forecast" xfId="23970"/>
    <cellStyle name="Normal 34 23 6" xfId="23971"/>
    <cellStyle name="Normal 34 23 7" xfId="23972"/>
    <cellStyle name="Normal 34 23_Forecast" xfId="23973"/>
    <cellStyle name="Normal 34 24" xfId="3277"/>
    <cellStyle name="Normal 34 24 2" xfId="8661"/>
    <cellStyle name="Normal 34 24 2 2" xfId="9422"/>
    <cellStyle name="Normal 34 24 2 2 2" xfId="23974"/>
    <cellStyle name="Normal 34 24 2 2 2 2" xfId="23975"/>
    <cellStyle name="Normal 34 24 2 2 2_Forecast" xfId="23976"/>
    <cellStyle name="Normal 34 24 2 2 3" xfId="23977"/>
    <cellStyle name="Normal 34 24 2 2_Forecast" xfId="23978"/>
    <cellStyle name="Normal 34 24 2 3" xfId="23979"/>
    <cellStyle name="Normal 34 24 2 3 2" xfId="23980"/>
    <cellStyle name="Normal 34 24 2 3 2 2" xfId="23981"/>
    <cellStyle name="Normal 34 24 2 3 2_Forecast" xfId="23982"/>
    <cellStyle name="Normal 34 24 2 3 3" xfId="23983"/>
    <cellStyle name="Normal 34 24 2 3_Forecast" xfId="23984"/>
    <cellStyle name="Normal 34 24 2 4" xfId="23985"/>
    <cellStyle name="Normal 34 24 2 4 2" xfId="23986"/>
    <cellStyle name="Normal 34 24 2 4_Forecast" xfId="23987"/>
    <cellStyle name="Normal 34 24 2 5" xfId="23988"/>
    <cellStyle name="Normal 34 24 2 6" xfId="23989"/>
    <cellStyle name="Normal 34 24 2_Forecast" xfId="23990"/>
    <cellStyle name="Normal 34 24 3" xfId="8731"/>
    <cellStyle name="Normal 34 24 3 2" xfId="23991"/>
    <cellStyle name="Normal 34 24 3 2 2" xfId="23992"/>
    <cellStyle name="Normal 34 24 3 2_Forecast" xfId="23993"/>
    <cellStyle name="Normal 34 24 3 3" xfId="23994"/>
    <cellStyle name="Normal 34 24 3_Forecast" xfId="23995"/>
    <cellStyle name="Normal 34 24 4" xfId="12159"/>
    <cellStyle name="Normal 34 24 4 2" xfId="23996"/>
    <cellStyle name="Normal 34 24 4 2 2" xfId="23997"/>
    <cellStyle name="Normal 34 24 4 2_Forecast" xfId="23998"/>
    <cellStyle name="Normal 34 24 4 3" xfId="23999"/>
    <cellStyle name="Normal 34 24 4_Forecast" xfId="24000"/>
    <cellStyle name="Normal 34 24 5" xfId="24001"/>
    <cellStyle name="Normal 34 24 5 2" xfId="24002"/>
    <cellStyle name="Normal 34 24 5_Forecast" xfId="24003"/>
    <cellStyle name="Normal 34 24 6" xfId="24004"/>
    <cellStyle name="Normal 34 24 7" xfId="24005"/>
    <cellStyle name="Normal 34 24_Forecast" xfId="24006"/>
    <cellStyle name="Normal 34 25" xfId="3278"/>
    <cellStyle name="Normal 34 25 2" xfId="8662"/>
    <cellStyle name="Normal 34 25 2 2" xfId="9423"/>
    <cellStyle name="Normal 34 25 2 2 2" xfId="24007"/>
    <cellStyle name="Normal 34 25 2 2 2 2" xfId="24008"/>
    <cellStyle name="Normal 34 25 2 2 2_Forecast" xfId="24009"/>
    <cellStyle name="Normal 34 25 2 2 3" xfId="24010"/>
    <cellStyle name="Normal 34 25 2 2_Forecast" xfId="24011"/>
    <cellStyle name="Normal 34 25 2 3" xfId="24012"/>
    <cellStyle name="Normal 34 25 2 3 2" xfId="24013"/>
    <cellStyle name="Normal 34 25 2 3 2 2" xfId="24014"/>
    <cellStyle name="Normal 34 25 2 3 2_Forecast" xfId="24015"/>
    <cellStyle name="Normal 34 25 2 3 3" xfId="24016"/>
    <cellStyle name="Normal 34 25 2 3_Forecast" xfId="24017"/>
    <cellStyle name="Normal 34 25 2 4" xfId="24018"/>
    <cellStyle name="Normal 34 25 2 4 2" xfId="24019"/>
    <cellStyle name="Normal 34 25 2 4_Forecast" xfId="24020"/>
    <cellStyle name="Normal 34 25 2 5" xfId="24021"/>
    <cellStyle name="Normal 34 25 2 6" xfId="24022"/>
    <cellStyle name="Normal 34 25 2_Forecast" xfId="24023"/>
    <cellStyle name="Normal 34 25 3" xfId="8732"/>
    <cellStyle name="Normal 34 25 3 2" xfId="24024"/>
    <cellStyle name="Normal 34 25 3 2 2" xfId="24025"/>
    <cellStyle name="Normal 34 25 3 2_Forecast" xfId="24026"/>
    <cellStyle name="Normal 34 25 3 3" xfId="24027"/>
    <cellStyle name="Normal 34 25 3_Forecast" xfId="24028"/>
    <cellStyle name="Normal 34 25 4" xfId="12160"/>
    <cellStyle name="Normal 34 25 4 2" xfId="24029"/>
    <cellStyle name="Normal 34 25 4 2 2" xfId="24030"/>
    <cellStyle name="Normal 34 25 4 2_Forecast" xfId="24031"/>
    <cellStyle name="Normal 34 25 4 3" xfId="24032"/>
    <cellStyle name="Normal 34 25 4_Forecast" xfId="24033"/>
    <cellStyle name="Normal 34 25 5" xfId="24034"/>
    <cellStyle name="Normal 34 25 5 2" xfId="24035"/>
    <cellStyle name="Normal 34 25 5_Forecast" xfId="24036"/>
    <cellStyle name="Normal 34 25 6" xfId="24037"/>
    <cellStyle name="Normal 34 25 7" xfId="24038"/>
    <cellStyle name="Normal 34 25_Forecast" xfId="24039"/>
    <cellStyle name="Normal 34 26" xfId="3279"/>
    <cellStyle name="Normal 34 27" xfId="8691"/>
    <cellStyle name="Normal 34 27 2" xfId="9447"/>
    <cellStyle name="Normal 34 27 2 2" xfId="24040"/>
    <cellStyle name="Normal 34 27 2 2 2" xfId="24041"/>
    <cellStyle name="Normal 34 27 2 2_Forecast" xfId="24042"/>
    <cellStyle name="Normal 34 27 2 3" xfId="24043"/>
    <cellStyle name="Normal 34 27 2_Forecast" xfId="24044"/>
    <cellStyle name="Normal 34 27 3" xfId="24045"/>
    <cellStyle name="Normal 34 27 3 2" xfId="24046"/>
    <cellStyle name="Normal 34 27 3_Forecast" xfId="24047"/>
    <cellStyle name="Normal 34 27 4" xfId="24048"/>
    <cellStyle name="Normal 34 27 5" xfId="24049"/>
    <cellStyle name="Normal 34 27_Forecast" xfId="24050"/>
    <cellStyle name="Normal 34 28" xfId="8756"/>
    <cellStyle name="Normal 34 28 2" xfId="24051"/>
    <cellStyle name="Normal 34 28 2 2" xfId="24052"/>
    <cellStyle name="Normal 34 28 2_Forecast" xfId="24053"/>
    <cellStyle name="Normal 34 28 3" xfId="24054"/>
    <cellStyle name="Normal 34 28_Forecast" xfId="24055"/>
    <cellStyle name="Normal 34 29" xfId="12196"/>
    <cellStyle name="Normal 34 29 2" xfId="24056"/>
    <cellStyle name="Normal 34 29 2 2" xfId="24057"/>
    <cellStyle name="Normal 34 29 2_Forecast" xfId="24058"/>
    <cellStyle name="Normal 34 29 3" xfId="24059"/>
    <cellStyle name="Normal 34 29_Forecast" xfId="24060"/>
    <cellStyle name="Normal 34 3" xfId="3280"/>
    <cellStyle name="Normal 34 3 2" xfId="8663"/>
    <cellStyle name="Normal 34 3 2 2" xfId="9424"/>
    <cellStyle name="Normal 34 3 2 2 2" xfId="24061"/>
    <cellStyle name="Normal 34 3 2 2 2 2" xfId="24062"/>
    <cellStyle name="Normal 34 3 2 2 2_Forecast" xfId="24063"/>
    <cellStyle name="Normal 34 3 2 2 3" xfId="24064"/>
    <cellStyle name="Normal 34 3 2 2_Forecast" xfId="24065"/>
    <cellStyle name="Normal 34 3 2 3" xfId="24066"/>
    <cellStyle name="Normal 34 3 2 3 2" xfId="24067"/>
    <cellStyle name="Normal 34 3 2 3 2 2" xfId="24068"/>
    <cellStyle name="Normal 34 3 2 3 2_Forecast" xfId="24069"/>
    <cellStyle name="Normal 34 3 2 3 3" xfId="24070"/>
    <cellStyle name="Normal 34 3 2 3_Forecast" xfId="24071"/>
    <cellStyle name="Normal 34 3 2 4" xfId="24072"/>
    <cellStyle name="Normal 34 3 2 4 2" xfId="24073"/>
    <cellStyle name="Normal 34 3 2 4_Forecast" xfId="24074"/>
    <cellStyle name="Normal 34 3 2 5" xfId="24075"/>
    <cellStyle name="Normal 34 3 2 6" xfId="24076"/>
    <cellStyle name="Normal 34 3 2_Forecast" xfId="24077"/>
    <cellStyle name="Normal 34 3 3" xfId="8733"/>
    <cellStyle name="Normal 34 3 3 2" xfId="24078"/>
    <cellStyle name="Normal 34 3 3 2 2" xfId="24079"/>
    <cellStyle name="Normal 34 3 3 2_Forecast" xfId="24080"/>
    <cellStyle name="Normal 34 3 3 3" xfId="24081"/>
    <cellStyle name="Normal 34 3 3_Forecast" xfId="24082"/>
    <cellStyle name="Normal 34 3 4" xfId="12161"/>
    <cellStyle name="Normal 34 3 4 2" xfId="24083"/>
    <cellStyle name="Normal 34 3 4 2 2" xfId="24084"/>
    <cellStyle name="Normal 34 3 4 2_Forecast" xfId="24085"/>
    <cellStyle name="Normal 34 3 4 3" xfId="24086"/>
    <cellStyle name="Normal 34 3 4_Forecast" xfId="24087"/>
    <cellStyle name="Normal 34 3 5" xfId="24088"/>
    <cellStyle name="Normal 34 3 5 2" xfId="24089"/>
    <cellStyle name="Normal 34 3 5 2 2" xfId="24090"/>
    <cellStyle name="Normal 34 3 5 2_Forecast" xfId="24091"/>
    <cellStyle name="Normal 34 3 5 3" xfId="24092"/>
    <cellStyle name="Normal 34 3 5_Forecast" xfId="24093"/>
    <cellStyle name="Normal 34 3 6" xfId="24094"/>
    <cellStyle name="Normal 34 3 6 2" xfId="24095"/>
    <cellStyle name="Normal 34 3 6_Forecast" xfId="24096"/>
    <cellStyle name="Normal 34 3 7" xfId="24097"/>
    <cellStyle name="Normal 34 3 8" xfId="24098"/>
    <cellStyle name="Normal 34 3_Forecast" xfId="24099"/>
    <cellStyle name="Normal 34 30" xfId="20118"/>
    <cellStyle name="Normal 34 31" xfId="24100"/>
    <cellStyle name="Normal 34 4" xfId="3281"/>
    <cellStyle name="Normal 34 4 2" xfId="8664"/>
    <cellStyle name="Normal 34 4 2 2" xfId="9425"/>
    <cellStyle name="Normal 34 4 2 2 2" xfId="24101"/>
    <cellStyle name="Normal 34 4 2 2 2 2" xfId="24102"/>
    <cellStyle name="Normal 34 4 2 2 2_Forecast" xfId="24103"/>
    <cellStyle name="Normal 34 4 2 2 3" xfId="24104"/>
    <cellStyle name="Normal 34 4 2 2_Forecast" xfId="24105"/>
    <cellStyle name="Normal 34 4 2 3" xfId="24106"/>
    <cellStyle name="Normal 34 4 2 3 2" xfId="24107"/>
    <cellStyle name="Normal 34 4 2 3 2 2" xfId="24108"/>
    <cellStyle name="Normal 34 4 2 3 2_Forecast" xfId="24109"/>
    <cellStyle name="Normal 34 4 2 3 3" xfId="24110"/>
    <cellStyle name="Normal 34 4 2 3_Forecast" xfId="24111"/>
    <cellStyle name="Normal 34 4 2 4" xfId="24112"/>
    <cellStyle name="Normal 34 4 2 4 2" xfId="24113"/>
    <cellStyle name="Normal 34 4 2 4_Forecast" xfId="24114"/>
    <cellStyle name="Normal 34 4 2 5" xfId="24115"/>
    <cellStyle name="Normal 34 4 2 6" xfId="24116"/>
    <cellStyle name="Normal 34 4 2_Forecast" xfId="24117"/>
    <cellStyle name="Normal 34 4 3" xfId="8734"/>
    <cellStyle name="Normal 34 4 3 2" xfId="24118"/>
    <cellStyle name="Normal 34 4 3 2 2" xfId="24119"/>
    <cellStyle name="Normal 34 4 3 2_Forecast" xfId="24120"/>
    <cellStyle name="Normal 34 4 3 3" xfId="24121"/>
    <cellStyle name="Normal 34 4 3_Forecast" xfId="24122"/>
    <cellStyle name="Normal 34 4 4" xfId="12162"/>
    <cellStyle name="Normal 34 4 4 2" xfId="24123"/>
    <cellStyle name="Normal 34 4 4 2 2" xfId="24124"/>
    <cellStyle name="Normal 34 4 4 2_Forecast" xfId="24125"/>
    <cellStyle name="Normal 34 4 4 3" xfId="24126"/>
    <cellStyle name="Normal 34 4 4_Forecast" xfId="24127"/>
    <cellStyle name="Normal 34 4 5" xfId="24128"/>
    <cellStyle name="Normal 34 4 5 2" xfId="24129"/>
    <cellStyle name="Normal 34 4 5 2 2" xfId="24130"/>
    <cellStyle name="Normal 34 4 5 2_Forecast" xfId="24131"/>
    <cellStyle name="Normal 34 4 5 3" xfId="24132"/>
    <cellStyle name="Normal 34 4 5_Forecast" xfId="24133"/>
    <cellStyle name="Normal 34 4 6" xfId="24134"/>
    <cellStyle name="Normal 34 4 6 2" xfId="24135"/>
    <cellStyle name="Normal 34 4 6_Forecast" xfId="24136"/>
    <cellStyle name="Normal 34 4 7" xfId="24137"/>
    <cellStyle name="Normal 34 4 8" xfId="24138"/>
    <cellStyle name="Normal 34 4_Forecast" xfId="24139"/>
    <cellStyle name="Normal 34 5" xfId="3282"/>
    <cellStyle name="Normal 34 5 2" xfId="8665"/>
    <cellStyle name="Normal 34 5 2 2" xfId="9426"/>
    <cellStyle name="Normal 34 5 2 2 2" xfId="24140"/>
    <cellStyle name="Normal 34 5 2 2 2 2" xfId="24141"/>
    <cellStyle name="Normal 34 5 2 2 2_Forecast" xfId="24142"/>
    <cellStyle name="Normal 34 5 2 2 3" xfId="24143"/>
    <cellStyle name="Normal 34 5 2 2_Forecast" xfId="24144"/>
    <cellStyle name="Normal 34 5 2 3" xfId="24145"/>
    <cellStyle name="Normal 34 5 2 3 2" xfId="24146"/>
    <cellStyle name="Normal 34 5 2 3 2 2" xfId="24147"/>
    <cellStyle name="Normal 34 5 2 3 2_Forecast" xfId="24148"/>
    <cellStyle name="Normal 34 5 2 3 3" xfId="24149"/>
    <cellStyle name="Normal 34 5 2 3_Forecast" xfId="24150"/>
    <cellStyle name="Normal 34 5 2 4" xfId="24151"/>
    <cellStyle name="Normal 34 5 2 4 2" xfId="24152"/>
    <cellStyle name="Normal 34 5 2 4_Forecast" xfId="24153"/>
    <cellStyle name="Normal 34 5 2 5" xfId="24154"/>
    <cellStyle name="Normal 34 5 2 6" xfId="24155"/>
    <cellStyle name="Normal 34 5 2_Forecast" xfId="24156"/>
    <cellStyle name="Normal 34 5 3" xfId="8735"/>
    <cellStyle name="Normal 34 5 3 2" xfId="24157"/>
    <cellStyle name="Normal 34 5 3 2 2" xfId="24158"/>
    <cellStyle name="Normal 34 5 3 2_Forecast" xfId="24159"/>
    <cellStyle name="Normal 34 5 3 3" xfId="24160"/>
    <cellStyle name="Normal 34 5 3_Forecast" xfId="24161"/>
    <cellStyle name="Normal 34 5 4" xfId="12163"/>
    <cellStyle name="Normal 34 5 4 2" xfId="24162"/>
    <cellStyle name="Normal 34 5 4 2 2" xfId="24163"/>
    <cellStyle name="Normal 34 5 4 2_Forecast" xfId="24164"/>
    <cellStyle name="Normal 34 5 4 3" xfId="24165"/>
    <cellStyle name="Normal 34 5 4_Forecast" xfId="24166"/>
    <cellStyle name="Normal 34 5 5" xfId="24167"/>
    <cellStyle name="Normal 34 5 5 2" xfId="24168"/>
    <cellStyle name="Normal 34 5 5 2 2" xfId="24169"/>
    <cellStyle name="Normal 34 5 5 2_Forecast" xfId="24170"/>
    <cellStyle name="Normal 34 5 5 3" xfId="24171"/>
    <cellStyle name="Normal 34 5 5_Forecast" xfId="24172"/>
    <cellStyle name="Normal 34 5 6" xfId="24173"/>
    <cellStyle name="Normal 34 5 6 2" xfId="24174"/>
    <cellStyle name="Normal 34 5 6_Forecast" xfId="24175"/>
    <cellStyle name="Normal 34 5 7" xfId="24176"/>
    <cellStyle name="Normal 34 5 8" xfId="24177"/>
    <cellStyle name="Normal 34 5_Forecast" xfId="24178"/>
    <cellStyle name="Normal 34 6" xfId="3283"/>
    <cellStyle name="Normal 34 6 2" xfId="8666"/>
    <cellStyle name="Normal 34 6 2 2" xfId="9427"/>
    <cellStyle name="Normal 34 6 2 2 2" xfId="24179"/>
    <cellStyle name="Normal 34 6 2 2 2 2" xfId="24180"/>
    <cellStyle name="Normal 34 6 2 2 2_Forecast" xfId="24181"/>
    <cellStyle name="Normal 34 6 2 2 3" xfId="24182"/>
    <cellStyle name="Normal 34 6 2 2_Forecast" xfId="24183"/>
    <cellStyle name="Normal 34 6 2 3" xfId="24184"/>
    <cellStyle name="Normal 34 6 2 3 2" xfId="24185"/>
    <cellStyle name="Normal 34 6 2 3 2 2" xfId="24186"/>
    <cellStyle name="Normal 34 6 2 3 2_Forecast" xfId="24187"/>
    <cellStyle name="Normal 34 6 2 3 3" xfId="24188"/>
    <cellStyle name="Normal 34 6 2 3_Forecast" xfId="24189"/>
    <cellStyle name="Normal 34 6 2 4" xfId="24190"/>
    <cellStyle name="Normal 34 6 2 4 2" xfId="24191"/>
    <cellStyle name="Normal 34 6 2 4_Forecast" xfId="24192"/>
    <cellStyle name="Normal 34 6 2 5" xfId="24193"/>
    <cellStyle name="Normal 34 6 2 6" xfId="24194"/>
    <cellStyle name="Normal 34 6 2_Forecast" xfId="24195"/>
    <cellStyle name="Normal 34 6 3" xfId="8736"/>
    <cellStyle name="Normal 34 6 3 2" xfId="24196"/>
    <cellStyle name="Normal 34 6 3 2 2" xfId="24197"/>
    <cellStyle name="Normal 34 6 3 2_Forecast" xfId="24198"/>
    <cellStyle name="Normal 34 6 3 3" xfId="24199"/>
    <cellStyle name="Normal 34 6 3_Forecast" xfId="24200"/>
    <cellStyle name="Normal 34 6 4" xfId="12164"/>
    <cellStyle name="Normal 34 6 4 2" xfId="24201"/>
    <cellStyle name="Normal 34 6 4 2 2" xfId="24202"/>
    <cellStyle name="Normal 34 6 4 2_Forecast" xfId="24203"/>
    <cellStyle name="Normal 34 6 4 3" xfId="24204"/>
    <cellStyle name="Normal 34 6 4_Forecast" xfId="24205"/>
    <cellStyle name="Normal 34 6 5" xfId="24206"/>
    <cellStyle name="Normal 34 6 5 2" xfId="24207"/>
    <cellStyle name="Normal 34 6 5 2 2" xfId="24208"/>
    <cellStyle name="Normal 34 6 5 2_Forecast" xfId="24209"/>
    <cellStyle name="Normal 34 6 5 3" xfId="24210"/>
    <cellStyle name="Normal 34 6 5_Forecast" xfId="24211"/>
    <cellStyle name="Normal 34 6 6" xfId="24212"/>
    <cellStyle name="Normal 34 6 6 2" xfId="24213"/>
    <cellStyle name="Normal 34 6 6_Forecast" xfId="24214"/>
    <cellStyle name="Normal 34 6 7" xfId="24215"/>
    <cellStyle name="Normal 34 6 8" xfId="24216"/>
    <cellStyle name="Normal 34 6_Forecast" xfId="24217"/>
    <cellStyle name="Normal 34 7" xfId="3284"/>
    <cellStyle name="Normal 34 7 2" xfId="8667"/>
    <cellStyle name="Normal 34 7 2 2" xfId="9428"/>
    <cellStyle name="Normal 34 7 2 2 2" xfId="24218"/>
    <cellStyle name="Normal 34 7 2 2 2 2" xfId="24219"/>
    <cellStyle name="Normal 34 7 2 2 2_Forecast" xfId="24220"/>
    <cellStyle name="Normal 34 7 2 2 3" xfId="24221"/>
    <cellStyle name="Normal 34 7 2 2_Forecast" xfId="24222"/>
    <cellStyle name="Normal 34 7 2 3" xfId="24223"/>
    <cellStyle name="Normal 34 7 2 3 2" xfId="24224"/>
    <cellStyle name="Normal 34 7 2 3 2 2" xfId="24225"/>
    <cellStyle name="Normal 34 7 2 3 2_Forecast" xfId="24226"/>
    <cellStyle name="Normal 34 7 2 3 3" xfId="24227"/>
    <cellStyle name="Normal 34 7 2 3_Forecast" xfId="24228"/>
    <cellStyle name="Normal 34 7 2 4" xfId="24229"/>
    <cellStyle name="Normal 34 7 2 4 2" xfId="24230"/>
    <cellStyle name="Normal 34 7 2 4_Forecast" xfId="24231"/>
    <cellStyle name="Normal 34 7 2 5" xfId="24232"/>
    <cellStyle name="Normal 34 7 2 6" xfId="24233"/>
    <cellStyle name="Normal 34 7 2_Forecast" xfId="24234"/>
    <cellStyle name="Normal 34 7 3" xfId="8737"/>
    <cellStyle name="Normal 34 7 3 2" xfId="24235"/>
    <cellStyle name="Normal 34 7 3 2 2" xfId="24236"/>
    <cellStyle name="Normal 34 7 3 2_Forecast" xfId="24237"/>
    <cellStyle name="Normal 34 7 3 3" xfId="24238"/>
    <cellStyle name="Normal 34 7 3_Forecast" xfId="24239"/>
    <cellStyle name="Normal 34 7 4" xfId="12165"/>
    <cellStyle name="Normal 34 7 4 2" xfId="24240"/>
    <cellStyle name="Normal 34 7 4 2 2" xfId="24241"/>
    <cellStyle name="Normal 34 7 4 2_Forecast" xfId="24242"/>
    <cellStyle name="Normal 34 7 4 3" xfId="24243"/>
    <cellStyle name="Normal 34 7 4_Forecast" xfId="24244"/>
    <cellStyle name="Normal 34 7 5" xfId="24245"/>
    <cellStyle name="Normal 34 7 5 2" xfId="24246"/>
    <cellStyle name="Normal 34 7 5_Forecast" xfId="24247"/>
    <cellStyle name="Normal 34 7 6" xfId="24248"/>
    <cellStyle name="Normal 34 7 7" xfId="24249"/>
    <cellStyle name="Normal 34 7_Forecast" xfId="24250"/>
    <cellStyle name="Normal 34 8" xfId="3285"/>
    <cellStyle name="Normal 34 8 2" xfId="8668"/>
    <cellStyle name="Normal 34 8 2 2" xfId="9429"/>
    <cellStyle name="Normal 34 8 2 2 2" xfId="24251"/>
    <cellStyle name="Normal 34 8 2 2 2 2" xfId="24252"/>
    <cellStyle name="Normal 34 8 2 2 2_Forecast" xfId="24253"/>
    <cellStyle name="Normal 34 8 2 2 3" xfId="24254"/>
    <cellStyle name="Normal 34 8 2 2_Forecast" xfId="24255"/>
    <cellStyle name="Normal 34 8 2 3" xfId="24256"/>
    <cellStyle name="Normal 34 8 2 3 2" xfId="24257"/>
    <cellStyle name="Normal 34 8 2 3 2 2" xfId="24258"/>
    <cellStyle name="Normal 34 8 2 3 2_Forecast" xfId="24259"/>
    <cellStyle name="Normal 34 8 2 3 3" xfId="24260"/>
    <cellStyle name="Normal 34 8 2 3_Forecast" xfId="24261"/>
    <cellStyle name="Normal 34 8 2 4" xfId="24262"/>
    <cellStyle name="Normal 34 8 2 4 2" xfId="24263"/>
    <cellStyle name="Normal 34 8 2 4_Forecast" xfId="24264"/>
    <cellStyle name="Normal 34 8 2 5" xfId="24265"/>
    <cellStyle name="Normal 34 8 2 6" xfId="24266"/>
    <cellStyle name="Normal 34 8 2_Forecast" xfId="24267"/>
    <cellStyle name="Normal 34 8 3" xfId="8738"/>
    <cellStyle name="Normal 34 8 3 2" xfId="24268"/>
    <cellStyle name="Normal 34 8 3 2 2" xfId="24269"/>
    <cellStyle name="Normal 34 8 3 2_Forecast" xfId="24270"/>
    <cellStyle name="Normal 34 8 3 3" xfId="24271"/>
    <cellStyle name="Normal 34 8 3_Forecast" xfId="24272"/>
    <cellStyle name="Normal 34 8 4" xfId="12166"/>
    <cellStyle name="Normal 34 8 4 2" xfId="24273"/>
    <cellStyle name="Normal 34 8 4 2 2" xfId="24274"/>
    <cellStyle name="Normal 34 8 4 2_Forecast" xfId="24275"/>
    <cellStyle name="Normal 34 8 4 3" xfId="24276"/>
    <cellStyle name="Normal 34 8 4_Forecast" xfId="24277"/>
    <cellStyle name="Normal 34 8 5" xfId="24278"/>
    <cellStyle name="Normal 34 8 5 2" xfId="24279"/>
    <cellStyle name="Normal 34 8 5_Forecast" xfId="24280"/>
    <cellStyle name="Normal 34 8 6" xfId="24281"/>
    <cellStyle name="Normal 34 8 7" xfId="24282"/>
    <cellStyle name="Normal 34 8_Forecast" xfId="24283"/>
    <cellStyle name="Normal 34 9" xfId="3286"/>
    <cellStyle name="Normal 34 9 2" xfId="8669"/>
    <cellStyle name="Normal 34 9 2 2" xfId="9430"/>
    <cellStyle name="Normal 34 9 2 2 2" xfId="24284"/>
    <cellStyle name="Normal 34 9 2 2 2 2" xfId="24285"/>
    <cellStyle name="Normal 34 9 2 2 2_Forecast" xfId="24286"/>
    <cellStyle name="Normal 34 9 2 2 3" xfId="24287"/>
    <cellStyle name="Normal 34 9 2 2_Forecast" xfId="24288"/>
    <cellStyle name="Normal 34 9 2 3" xfId="24289"/>
    <cellStyle name="Normal 34 9 2 3 2" xfId="24290"/>
    <cellStyle name="Normal 34 9 2 3 2 2" xfId="24291"/>
    <cellStyle name="Normal 34 9 2 3 2_Forecast" xfId="24292"/>
    <cellStyle name="Normal 34 9 2 3 3" xfId="24293"/>
    <cellStyle name="Normal 34 9 2 3_Forecast" xfId="24294"/>
    <cellStyle name="Normal 34 9 2 4" xfId="24295"/>
    <cellStyle name="Normal 34 9 2 4 2" xfId="24296"/>
    <cellStyle name="Normal 34 9 2 4_Forecast" xfId="24297"/>
    <cellStyle name="Normal 34 9 2 5" xfId="24298"/>
    <cellStyle name="Normal 34 9 2 6" xfId="24299"/>
    <cellStyle name="Normal 34 9 2_Forecast" xfId="24300"/>
    <cellStyle name="Normal 34 9 3" xfId="8739"/>
    <cellStyle name="Normal 34 9 3 2" xfId="24301"/>
    <cellStyle name="Normal 34 9 3 2 2" xfId="24302"/>
    <cellStyle name="Normal 34 9 3 2_Forecast" xfId="24303"/>
    <cellStyle name="Normal 34 9 3 3" xfId="24304"/>
    <cellStyle name="Normal 34 9 3_Forecast" xfId="24305"/>
    <cellStyle name="Normal 34 9 4" xfId="12167"/>
    <cellStyle name="Normal 34 9 4 2" xfId="24306"/>
    <cellStyle name="Normal 34 9 4 2 2" xfId="24307"/>
    <cellStyle name="Normal 34 9 4 2_Forecast" xfId="24308"/>
    <cellStyle name="Normal 34 9 4 3" xfId="24309"/>
    <cellStyle name="Normal 34 9 4_Forecast" xfId="24310"/>
    <cellStyle name="Normal 34 9 5" xfId="24311"/>
    <cellStyle name="Normal 34 9 5 2" xfId="24312"/>
    <cellStyle name="Normal 34 9 5_Forecast" xfId="24313"/>
    <cellStyle name="Normal 34 9 6" xfId="24314"/>
    <cellStyle name="Normal 34 9 7" xfId="24315"/>
    <cellStyle name="Normal 34 9_Forecast" xfId="24316"/>
    <cellStyle name="Normal 34_Forecast" xfId="24317"/>
    <cellStyle name="Normal 35" xfId="7405"/>
    <cellStyle name="Normal 35 2" xfId="3287"/>
    <cellStyle name="Normal 35 2 2" xfId="8670"/>
    <cellStyle name="Normal 35 2 2 2" xfId="11464"/>
    <cellStyle name="Normal 35 2 2 3" xfId="10151"/>
    <cellStyle name="Normal 35 2 2_Note Calc" xfId="27600"/>
    <cellStyle name="Normal 35 2 3" xfId="8846"/>
    <cellStyle name="Normal 35 2 3 2" xfId="11538"/>
    <cellStyle name="Normal 35 2 3 3" xfId="10225"/>
    <cellStyle name="Normal 35 2 3_Note Calc" xfId="27601"/>
    <cellStyle name="Normal 35 2 4" xfId="10850"/>
    <cellStyle name="Normal 35 2 5" xfId="9537"/>
    <cellStyle name="Normal 35 2_Forecast" xfId="24318"/>
    <cellStyle name="Normal 35 3" xfId="3288"/>
    <cellStyle name="Normal 35 3 2" xfId="8671"/>
    <cellStyle name="Normal 35 3 2 2" xfId="11465"/>
    <cellStyle name="Normal 35 3 2 3" xfId="10152"/>
    <cellStyle name="Normal 35 3 2_Note Calc" xfId="27602"/>
    <cellStyle name="Normal 35 3 3" xfId="8847"/>
    <cellStyle name="Normal 35 3 3 2" xfId="11539"/>
    <cellStyle name="Normal 35 3 3 3" xfId="10226"/>
    <cellStyle name="Normal 35 3 3_Note Calc" xfId="27603"/>
    <cellStyle name="Normal 35 3 4" xfId="10851"/>
    <cellStyle name="Normal 35 3 5" xfId="9538"/>
    <cellStyle name="Normal 35 3_Forecast" xfId="24319"/>
    <cellStyle name="Normal 35 4" xfId="3289"/>
    <cellStyle name="Normal 35 4 2" xfId="8672"/>
    <cellStyle name="Normal 35 4 2 2" xfId="11466"/>
    <cellStyle name="Normal 35 4 2 3" xfId="10153"/>
    <cellStyle name="Normal 35 4 2_Note Calc" xfId="27604"/>
    <cellStyle name="Normal 35 4 3" xfId="8848"/>
    <cellStyle name="Normal 35 4 3 2" xfId="11540"/>
    <cellStyle name="Normal 35 4 3 3" xfId="10227"/>
    <cellStyle name="Normal 35 4 3_Note Calc" xfId="27605"/>
    <cellStyle name="Normal 35 4 4" xfId="10852"/>
    <cellStyle name="Normal 35 4 5" xfId="9539"/>
    <cellStyle name="Normal 35 4_Forecast" xfId="24320"/>
    <cellStyle name="Normal 35 5" xfId="8674"/>
    <cellStyle name="Normal 35 5 2" xfId="11467"/>
    <cellStyle name="Normal 35 5 3" xfId="10154"/>
    <cellStyle name="Normal 35 5_Note Calc" xfId="27606"/>
    <cellStyle name="Normal 35 6" xfId="8850"/>
    <cellStyle name="Normal 35 6 2" xfId="11541"/>
    <cellStyle name="Normal 35 6 3" xfId="10228"/>
    <cellStyle name="Normal 35 6_Note Calc" xfId="27607"/>
    <cellStyle name="Normal 35 7" xfId="10853"/>
    <cellStyle name="Normal 35 8" xfId="9540"/>
    <cellStyle name="Normal 35 9" xfId="20119"/>
    <cellStyle name="Normal 35_Forecast" xfId="24321"/>
    <cellStyle name="Normal 36" xfId="8496"/>
    <cellStyle name="Normal 36 2" xfId="8701"/>
    <cellStyle name="Normal 36 2 2" xfId="9457"/>
    <cellStyle name="Normal 36 2 2 2" xfId="12221"/>
    <cellStyle name="Normal 36 2 2 2 2" xfId="24322"/>
    <cellStyle name="Normal 36 2 2 2_Forecast" xfId="24323"/>
    <cellStyle name="Normal 36 2 2 3" xfId="24324"/>
    <cellStyle name="Normal 36 2 2_Forecast" xfId="24325"/>
    <cellStyle name="Normal 36 2 3" xfId="24326"/>
    <cellStyle name="Normal 36 2 3 2" xfId="24327"/>
    <cellStyle name="Normal 36 2 3_Forecast" xfId="24328"/>
    <cellStyle name="Normal 36 2 4" xfId="24329"/>
    <cellStyle name="Normal 36 2 5" xfId="24330"/>
    <cellStyle name="Normal 36 2_Forecast" xfId="24331"/>
    <cellStyle name="Normal 36 3" xfId="8766"/>
    <cellStyle name="Normal 36 3 2" xfId="24332"/>
    <cellStyle name="Normal 36 3 2 2" xfId="24333"/>
    <cellStyle name="Normal 36 3 2_Forecast" xfId="24334"/>
    <cellStyle name="Normal 36 3 3" xfId="24335"/>
    <cellStyle name="Normal 36 3_Forecast" xfId="24336"/>
    <cellStyle name="Normal 36 4" xfId="12206"/>
    <cellStyle name="Normal 36 4 2" xfId="24337"/>
    <cellStyle name="Normal 36 4 2 2" xfId="24338"/>
    <cellStyle name="Normal 36 4 2_Forecast" xfId="24339"/>
    <cellStyle name="Normal 36 4 3" xfId="24340"/>
    <cellStyle name="Normal 36 4_Forecast" xfId="24341"/>
    <cellStyle name="Normal 36 5" xfId="20120"/>
    <cellStyle name="Normal 36_Forecast" xfId="24342"/>
    <cellStyle name="Normal 37" xfId="12098"/>
    <cellStyle name="Normal 37 2" xfId="20121"/>
    <cellStyle name="Normal 37_Note Calc" xfId="27608"/>
    <cellStyle name="Normal 38" xfId="12218"/>
    <cellStyle name="Normal 38 2" xfId="20122"/>
    <cellStyle name="Normal 38_Note Calc" xfId="27609"/>
    <cellStyle name="Normal 39" xfId="20123"/>
    <cellStyle name="Normal 4" xfId="3290"/>
    <cellStyle name="Normal 4 10" xfId="3291"/>
    <cellStyle name="Normal 4 11" xfId="3292"/>
    <cellStyle name="Normal 4 12" xfId="3293"/>
    <cellStyle name="Normal 4 13" xfId="3294"/>
    <cellStyle name="Normal 4 14" xfId="3295"/>
    <cellStyle name="Normal 4 15" xfId="3296"/>
    <cellStyle name="Normal 4 16" xfId="3297"/>
    <cellStyle name="Normal 4 17" xfId="3298"/>
    <cellStyle name="Normal 4 18" xfId="3299"/>
    <cellStyle name="Normal 4 19" xfId="3300"/>
    <cellStyle name="Normal 4 2" xfId="3301"/>
    <cellStyle name="Normal 4 2 10" xfId="12169"/>
    <cellStyle name="Normal 4 2 2" xfId="3302"/>
    <cellStyle name="Normal 4 2 2 2" xfId="8096"/>
    <cellStyle name="Normal 4 2 2 3" xfId="8416"/>
    <cellStyle name="Normal 4 2 2 4" xfId="8519"/>
    <cellStyle name="Normal 4 2 2_Forecast" xfId="24343"/>
    <cellStyle name="Normal 4 2 3" xfId="3303"/>
    <cellStyle name="Normal 4 2 3 2" xfId="8097"/>
    <cellStyle name="Normal 4 2 3 3" xfId="8417"/>
    <cellStyle name="Normal 4 2 3 4" xfId="8520"/>
    <cellStyle name="Normal 4 2 3_Forecast" xfId="24344"/>
    <cellStyle name="Normal 4 2 4" xfId="3304"/>
    <cellStyle name="Normal 4 2 4 2" xfId="8098"/>
    <cellStyle name="Normal 4 2 4 3" xfId="8418"/>
    <cellStyle name="Normal 4 2 4 4" xfId="8521"/>
    <cellStyle name="Normal 4 2 4_Forecast" xfId="24345"/>
    <cellStyle name="Normal 4 2 5" xfId="3305"/>
    <cellStyle name="Normal 4 2 5 2" xfId="8099"/>
    <cellStyle name="Normal 4 2 5 3" xfId="8419"/>
    <cellStyle name="Normal 4 2 5 4" xfId="8522"/>
    <cellStyle name="Normal 4 2 5_Forecast" xfId="24346"/>
    <cellStyle name="Normal 4 2 6" xfId="8095"/>
    <cellStyle name="Normal 4 2 7" xfId="8101"/>
    <cellStyle name="Normal 4 2 8" xfId="8415"/>
    <cellStyle name="Normal 4 2 9" xfId="8518"/>
    <cellStyle name="Normal 4 2_Forecast" xfId="24347"/>
    <cellStyle name="Normal 4 20" xfId="3306"/>
    <cellStyle name="Normal 4 21" xfId="3307"/>
    <cellStyle name="Normal 4 22" xfId="3308"/>
    <cellStyle name="Normal 4 23" xfId="3309"/>
    <cellStyle name="Normal 4 24" xfId="3310"/>
    <cellStyle name="Normal 4 25" xfId="3311"/>
    <cellStyle name="Normal 4 26" xfId="3312"/>
    <cellStyle name="Normal 4 27" xfId="3313"/>
    <cellStyle name="Normal 4 28" xfId="3314"/>
    <cellStyle name="Normal 4 29" xfId="3315"/>
    <cellStyle name="Normal 4 3" xfId="3316"/>
    <cellStyle name="Normal 4 3 10" xfId="3317"/>
    <cellStyle name="Normal 4 3 11" xfId="3318"/>
    <cellStyle name="Normal 4 3 12" xfId="3319"/>
    <cellStyle name="Normal 4 3 13" xfId="3320"/>
    <cellStyle name="Normal 4 3 14" xfId="3321"/>
    <cellStyle name="Normal 4 3 15" xfId="3322"/>
    <cellStyle name="Normal 4 3 16" xfId="3323"/>
    <cellStyle name="Normal 4 3 17" xfId="3324"/>
    <cellStyle name="Normal 4 3 18" xfId="3325"/>
    <cellStyle name="Normal 4 3 19" xfId="3326"/>
    <cellStyle name="Normal 4 3 2" xfId="3327"/>
    <cellStyle name="Normal 4 3 2 10" xfId="3328"/>
    <cellStyle name="Normal 4 3 2 11" xfId="3329"/>
    <cellStyle name="Normal 4 3 2 12" xfId="3330"/>
    <cellStyle name="Normal 4 3 2 13" xfId="3331"/>
    <cellStyle name="Normal 4 3 2 14" xfId="3332"/>
    <cellStyle name="Normal 4 3 2 15" xfId="3333"/>
    <cellStyle name="Normal 4 3 2 16" xfId="3334"/>
    <cellStyle name="Normal 4 3 2 17" xfId="3335"/>
    <cellStyle name="Normal 4 3 2 18" xfId="3336"/>
    <cellStyle name="Normal 4 3 2 19" xfId="3337"/>
    <cellStyle name="Normal 4 3 2 2" xfId="3338"/>
    <cellStyle name="Normal 4 3 2 20" xfId="3339"/>
    <cellStyle name="Normal 4 3 2 21" xfId="3340"/>
    <cellStyle name="Normal 4 3 2 22" xfId="3341"/>
    <cellStyle name="Normal 4 3 2 3" xfId="3342"/>
    <cellStyle name="Normal 4 3 2 4" xfId="3343"/>
    <cellStyle name="Normal 4 3 2 5" xfId="3344"/>
    <cellStyle name="Normal 4 3 2 6" xfId="3345"/>
    <cellStyle name="Normal 4 3 2 7" xfId="3346"/>
    <cellStyle name="Normal 4 3 2 8" xfId="3347"/>
    <cellStyle name="Normal 4 3 2 9" xfId="3348"/>
    <cellStyle name="Normal 4 3 2_Forecast" xfId="24348"/>
    <cellStyle name="Normal 4 3 20" xfId="3349"/>
    <cellStyle name="Normal 4 3 21" xfId="3350"/>
    <cellStyle name="Normal 4 3 22" xfId="3351"/>
    <cellStyle name="Normal 4 3 23" xfId="3352"/>
    <cellStyle name="Normal 4 3 24" xfId="3353"/>
    <cellStyle name="Normal 4 3 25" xfId="3354"/>
    <cellStyle name="Normal 4 3 26" xfId="20125"/>
    <cellStyle name="Normal 4 3 3" xfId="3355"/>
    <cellStyle name="Normal 4 3 4" xfId="3356"/>
    <cellStyle name="Normal 4 3 5" xfId="3357"/>
    <cellStyle name="Normal 4 3 6" xfId="3358"/>
    <cellStyle name="Normal 4 3 7" xfId="3359"/>
    <cellStyle name="Normal 4 3 8" xfId="3360"/>
    <cellStyle name="Normal 4 3 9" xfId="3361"/>
    <cellStyle name="Normal 4 3_Forecast" xfId="24349"/>
    <cellStyle name="Normal 4 30" xfId="3362"/>
    <cellStyle name="Normal 4 31" xfId="8094"/>
    <cellStyle name="Normal 4 31 2" xfId="8690"/>
    <cellStyle name="Normal 4 31 2 2" xfId="9446"/>
    <cellStyle name="Normal 4 31 2 2 2" xfId="24350"/>
    <cellStyle name="Normal 4 31 2 2 2 2" xfId="24351"/>
    <cellStyle name="Normal 4 31 2 2 2_Forecast" xfId="24352"/>
    <cellStyle name="Normal 4 31 2 2 3" xfId="24353"/>
    <cellStyle name="Normal 4 31 2 2_Forecast" xfId="24354"/>
    <cellStyle name="Normal 4 31 2 3" xfId="24355"/>
    <cellStyle name="Normal 4 31 2 3 2" xfId="24356"/>
    <cellStyle name="Normal 4 31 2 3_Forecast" xfId="24357"/>
    <cellStyle name="Normal 4 31 2 4" xfId="24358"/>
    <cellStyle name="Normal 4 31 2 5" xfId="24359"/>
    <cellStyle name="Normal 4 31 2_Forecast" xfId="24360"/>
    <cellStyle name="Normal 4 31 3" xfId="8755"/>
    <cellStyle name="Normal 4 31 3 2" xfId="24361"/>
    <cellStyle name="Normal 4 31 3 2 2" xfId="24362"/>
    <cellStyle name="Normal 4 31 3 2_Forecast" xfId="24363"/>
    <cellStyle name="Normal 4 31 3 3" xfId="24364"/>
    <cellStyle name="Normal 4 31 3_Forecast" xfId="24365"/>
    <cellStyle name="Normal 4 31 4" xfId="12195"/>
    <cellStyle name="Normal 4 31 4 2" xfId="24366"/>
    <cellStyle name="Normal 4 31 4_Forecast" xfId="24367"/>
    <cellStyle name="Normal 4 31 5" xfId="24368"/>
    <cellStyle name="Normal 4 31 6" xfId="24369"/>
    <cellStyle name="Normal 4 31_Forecast" xfId="24370"/>
    <cellStyle name="Normal 4 32" xfId="8414"/>
    <cellStyle name="Normal 4 32 2" xfId="8700"/>
    <cellStyle name="Normal 4 32 2 2" xfId="9456"/>
    <cellStyle name="Normal 4 32 2 2 2" xfId="24371"/>
    <cellStyle name="Normal 4 32 2 2 2 2" xfId="24372"/>
    <cellStyle name="Normal 4 32 2 2 2_Forecast" xfId="24373"/>
    <cellStyle name="Normal 4 32 2 2 3" xfId="24374"/>
    <cellStyle name="Normal 4 32 2 2_Forecast" xfId="24375"/>
    <cellStyle name="Normal 4 32 2 3" xfId="24376"/>
    <cellStyle name="Normal 4 32 2 3 2" xfId="24377"/>
    <cellStyle name="Normal 4 32 2 3_Forecast" xfId="24378"/>
    <cellStyle name="Normal 4 32 2 4" xfId="24379"/>
    <cellStyle name="Normal 4 32 2 5" xfId="24380"/>
    <cellStyle name="Normal 4 32 2_Forecast" xfId="24381"/>
    <cellStyle name="Normal 4 32 3" xfId="8765"/>
    <cellStyle name="Normal 4 32 3 2" xfId="24382"/>
    <cellStyle name="Normal 4 32 3 2 2" xfId="24383"/>
    <cellStyle name="Normal 4 32 3 2_Forecast" xfId="24384"/>
    <cellStyle name="Normal 4 32 3 3" xfId="24385"/>
    <cellStyle name="Normal 4 32 3_Forecast" xfId="24386"/>
    <cellStyle name="Normal 4 32 4" xfId="12205"/>
    <cellStyle name="Normal 4 32 4 2" xfId="24387"/>
    <cellStyle name="Normal 4 32 4_Forecast" xfId="24388"/>
    <cellStyle name="Normal 4 32 5" xfId="24389"/>
    <cellStyle name="Normal 4 32 6" xfId="24390"/>
    <cellStyle name="Normal 4 32_Forecast" xfId="24391"/>
    <cellStyle name="Normal 4 33" xfId="8517"/>
    <cellStyle name="Normal 4 33 2" xfId="8710"/>
    <cellStyle name="Normal 4 33 2 2" xfId="9466"/>
    <cellStyle name="Normal 4 33 2 2 2" xfId="24392"/>
    <cellStyle name="Normal 4 33 2 2 2 2" xfId="24393"/>
    <cellStyle name="Normal 4 33 2 2 2_Forecast" xfId="24394"/>
    <cellStyle name="Normal 4 33 2 2 3" xfId="24395"/>
    <cellStyle name="Normal 4 33 2 2_Forecast" xfId="24396"/>
    <cellStyle name="Normal 4 33 2 3" xfId="24397"/>
    <cellStyle name="Normal 4 33 2 3 2" xfId="24398"/>
    <cellStyle name="Normal 4 33 2 3_Forecast" xfId="24399"/>
    <cellStyle name="Normal 4 33 2 4" xfId="24400"/>
    <cellStyle name="Normal 4 33 2 5" xfId="24401"/>
    <cellStyle name="Normal 4 33 2_Forecast" xfId="24402"/>
    <cellStyle name="Normal 4 33 3" xfId="8775"/>
    <cellStyle name="Normal 4 33 3 2" xfId="24403"/>
    <cellStyle name="Normal 4 33 3 2 2" xfId="24404"/>
    <cellStyle name="Normal 4 33 3 2_Forecast" xfId="24405"/>
    <cellStyle name="Normal 4 33 3 3" xfId="24406"/>
    <cellStyle name="Normal 4 33 3_Forecast" xfId="24407"/>
    <cellStyle name="Normal 4 33 4" xfId="12215"/>
    <cellStyle name="Normal 4 33 4 2" xfId="24408"/>
    <cellStyle name="Normal 4 33 4_Forecast" xfId="24409"/>
    <cellStyle name="Normal 4 33 5" xfId="24410"/>
    <cellStyle name="Normal 4 33 6" xfId="24411"/>
    <cellStyle name="Normal 4 33_Forecast" xfId="24412"/>
    <cellStyle name="Normal 4 34" xfId="12168"/>
    <cellStyle name="Normal 4 35" xfId="12216"/>
    <cellStyle name="Normal 4 36" xfId="12095"/>
    <cellStyle name="Normal 4 37" xfId="20124"/>
    <cellStyle name="Normal 4 38" xfId="21938"/>
    <cellStyle name="Normal 4 39" xfId="21926"/>
    <cellStyle name="Normal 4 4" xfId="3363"/>
    <cellStyle name="Normal 4 4 2" xfId="20126"/>
    <cellStyle name="Normal 4 4_Note Calc" xfId="27610"/>
    <cellStyle name="Normal 4 40" xfId="27611"/>
    <cellStyle name="Normal 4 5" xfId="3364"/>
    <cellStyle name="Normal 4 5 2" xfId="20127"/>
    <cellStyle name="Normal 4 5_Note Calc" xfId="27612"/>
    <cellStyle name="Normal 4 6" xfId="3365"/>
    <cellStyle name="Normal 4 6 2" xfId="20128"/>
    <cellStyle name="Normal 4 6_Note Calc" xfId="27613"/>
    <cellStyle name="Normal 4 7" xfId="3366"/>
    <cellStyle name="Normal 4 7 2" xfId="20129"/>
    <cellStyle name="Normal 4 7_Note Calc" xfId="27614"/>
    <cellStyle name="Normal 4 8" xfId="3367"/>
    <cellStyle name="Normal 4 8 2" xfId="20130"/>
    <cellStyle name="Normal 4 8_Note Calc" xfId="27615"/>
    <cellStyle name="Normal 4 9" xfId="3368"/>
    <cellStyle name="Normal 4_Forecast" xfId="24413"/>
    <cellStyle name="Normal 40" xfId="20131"/>
    <cellStyle name="Normal 40 2" xfId="24414"/>
    <cellStyle name="Normal 40_Forecast" xfId="24415"/>
    <cellStyle name="Normal 41" xfId="20132"/>
    <cellStyle name="Normal 41 2" xfId="24416"/>
    <cellStyle name="Normal 41_Forecast" xfId="24417"/>
    <cellStyle name="Normal 42" xfId="20133"/>
    <cellStyle name="Normal 43" xfId="20134"/>
    <cellStyle name="Normal 44" xfId="20135"/>
    <cellStyle name="Normal 45" xfId="20136"/>
    <cellStyle name="Normal 46" xfId="20137"/>
    <cellStyle name="Normal 47" xfId="20138"/>
    <cellStyle name="Normal 48" xfId="20139"/>
    <cellStyle name="Normal 48 2" xfId="21642"/>
    <cellStyle name="Normal 48_Note Calc" xfId="27616"/>
    <cellStyle name="Normal 49" xfId="20140"/>
    <cellStyle name="Normal 5" xfId="3369"/>
    <cellStyle name="Normal 5 10" xfId="3370"/>
    <cellStyle name="Normal 5 11" xfId="3371"/>
    <cellStyle name="Normal 5 12" xfId="3372"/>
    <cellStyle name="Normal 5 13" xfId="3373"/>
    <cellStyle name="Normal 5 14" xfId="3374"/>
    <cellStyle name="Normal 5 15" xfId="3375"/>
    <cellStyle name="Normal 5 16" xfId="3376"/>
    <cellStyle name="Normal 5 17" xfId="3377"/>
    <cellStyle name="Normal 5 18" xfId="3378"/>
    <cellStyle name="Normal 5 19" xfId="3379"/>
    <cellStyle name="Normal 5 2" xfId="3380"/>
    <cellStyle name="Normal 5 2 10" xfId="20141"/>
    <cellStyle name="Normal 5 2 2" xfId="3381"/>
    <cellStyle name="Normal 5 2 2 2" xfId="20142"/>
    <cellStyle name="Normal 5 2 2_Note Calc" xfId="27617"/>
    <cellStyle name="Normal 5 2 3" xfId="3382"/>
    <cellStyle name="Normal 5 2 3 2" xfId="20143"/>
    <cellStyle name="Normal 5 2 3_Note Calc" xfId="27618"/>
    <cellStyle name="Normal 5 2 4" xfId="3383"/>
    <cellStyle name="Normal 5 2 4 2" xfId="20144"/>
    <cellStyle name="Normal 5 2 4_Note Calc" xfId="27619"/>
    <cellStyle name="Normal 5 2 5" xfId="3384"/>
    <cellStyle name="Normal 5 2 5 2" xfId="20145"/>
    <cellStyle name="Normal 5 2 5_Note Calc" xfId="27620"/>
    <cellStyle name="Normal 5 2 6" xfId="8103"/>
    <cellStyle name="Normal 5 2 6 2" xfId="9118"/>
    <cellStyle name="Normal 5 2 6 2 2" xfId="11809"/>
    <cellStyle name="Normal 5 2 6 2 3" xfId="10496"/>
    <cellStyle name="Normal 5 2 6 2_Note Calc" xfId="27621"/>
    <cellStyle name="Normal 5 2 6 3" xfId="11121"/>
    <cellStyle name="Normal 5 2 6 4" xfId="9808"/>
    <cellStyle name="Normal 5 2 6 5" xfId="20146"/>
    <cellStyle name="Normal 5 2 6_Forecast" xfId="24418"/>
    <cellStyle name="Normal 5 2 7" xfId="8421"/>
    <cellStyle name="Normal 5 2 7 2" xfId="9318"/>
    <cellStyle name="Normal 5 2 7 2 2" xfId="12009"/>
    <cellStyle name="Normal 5 2 7 2 3" xfId="10696"/>
    <cellStyle name="Normal 5 2 7 2_Note Calc" xfId="27622"/>
    <cellStyle name="Normal 5 2 7 3" xfId="11321"/>
    <cellStyle name="Normal 5 2 7 4" xfId="10008"/>
    <cellStyle name="Normal 5 2 7 5" xfId="20147"/>
    <cellStyle name="Normal 5 2 7_Forecast" xfId="24419"/>
    <cellStyle name="Normal 5 2 8" xfId="8524"/>
    <cellStyle name="Normal 5 2 8 2" xfId="9370"/>
    <cellStyle name="Normal 5 2 8 2 2" xfId="12061"/>
    <cellStyle name="Normal 5 2 8 2 3" xfId="10748"/>
    <cellStyle name="Normal 5 2 8 2_Note Calc" xfId="27623"/>
    <cellStyle name="Normal 5 2 8 3" xfId="11373"/>
    <cellStyle name="Normal 5 2 8 4" xfId="10060"/>
    <cellStyle name="Normal 5 2 8 5" xfId="20148"/>
    <cellStyle name="Normal 5 2 8_Forecast" xfId="24420"/>
    <cellStyle name="Normal 5 2 9" xfId="20149"/>
    <cellStyle name="Normal 5 2_Forecast" xfId="24421"/>
    <cellStyle name="Normal 5 20" xfId="3385"/>
    <cellStyle name="Normal 5 21" xfId="3386"/>
    <cellStyle name="Normal 5 22" xfId="3387"/>
    <cellStyle name="Normal 5 23" xfId="3388"/>
    <cellStyle name="Normal 5 24" xfId="3389"/>
    <cellStyle name="Normal 5 25" xfId="3390"/>
    <cellStyle name="Normal 5 26" xfId="3391"/>
    <cellStyle name="Normal 5 27" xfId="3392"/>
    <cellStyle name="Normal 5 28" xfId="3393"/>
    <cellStyle name="Normal 5 29" xfId="3394"/>
    <cellStyle name="Normal 5 3" xfId="3395"/>
    <cellStyle name="Normal 5 3 10" xfId="3396"/>
    <cellStyle name="Normal 5 3 11" xfId="3397"/>
    <cellStyle name="Normal 5 3 12" xfId="3398"/>
    <cellStyle name="Normal 5 3 13" xfId="3399"/>
    <cellStyle name="Normal 5 3 14" xfId="3400"/>
    <cellStyle name="Normal 5 3 15" xfId="3401"/>
    <cellStyle name="Normal 5 3 16" xfId="3402"/>
    <cellStyle name="Normal 5 3 17" xfId="3403"/>
    <cellStyle name="Normal 5 3 18" xfId="3404"/>
    <cellStyle name="Normal 5 3 19" xfId="3405"/>
    <cellStyle name="Normal 5 3 2" xfId="3406"/>
    <cellStyle name="Normal 5 3 2 10" xfId="3407"/>
    <cellStyle name="Normal 5 3 2 11" xfId="3408"/>
    <cellStyle name="Normal 5 3 2 12" xfId="3409"/>
    <cellStyle name="Normal 5 3 2 13" xfId="3410"/>
    <cellStyle name="Normal 5 3 2 14" xfId="3411"/>
    <cellStyle name="Normal 5 3 2 15" xfId="3412"/>
    <cellStyle name="Normal 5 3 2 16" xfId="3413"/>
    <cellStyle name="Normal 5 3 2 17" xfId="3414"/>
    <cellStyle name="Normal 5 3 2 18" xfId="3415"/>
    <cellStyle name="Normal 5 3 2 19" xfId="3416"/>
    <cellStyle name="Normal 5 3 2 2" xfId="3417"/>
    <cellStyle name="Normal 5 3 2 20" xfId="3418"/>
    <cellStyle name="Normal 5 3 2 21" xfId="3419"/>
    <cellStyle name="Normal 5 3 2 22" xfId="3420"/>
    <cellStyle name="Normal 5 3 2 3" xfId="3421"/>
    <cellStyle name="Normal 5 3 2 4" xfId="3422"/>
    <cellStyle name="Normal 5 3 2 5" xfId="3423"/>
    <cellStyle name="Normal 5 3 2 6" xfId="3424"/>
    <cellStyle name="Normal 5 3 2 7" xfId="3425"/>
    <cellStyle name="Normal 5 3 2 8" xfId="3426"/>
    <cellStyle name="Normal 5 3 2 9" xfId="3427"/>
    <cellStyle name="Normal 5 3 2_Forecast" xfId="24422"/>
    <cellStyle name="Normal 5 3 20" xfId="3428"/>
    <cellStyle name="Normal 5 3 21" xfId="3429"/>
    <cellStyle name="Normal 5 3 22" xfId="3430"/>
    <cellStyle name="Normal 5 3 23" xfId="3431"/>
    <cellStyle name="Normal 5 3 24" xfId="3432"/>
    <cellStyle name="Normal 5 3 25" xfId="3433"/>
    <cellStyle name="Normal 5 3 26" xfId="8104"/>
    <cellStyle name="Normal 5 3 26 2" xfId="9119"/>
    <cellStyle name="Normal 5 3 26 2 2" xfId="11810"/>
    <cellStyle name="Normal 5 3 26 2 3" xfId="10497"/>
    <cellStyle name="Normal 5 3 26 2_Note Calc" xfId="27624"/>
    <cellStyle name="Normal 5 3 26 3" xfId="11122"/>
    <cellStyle name="Normal 5 3 26 4" xfId="9809"/>
    <cellStyle name="Normal 5 3 26_Forecast" xfId="24423"/>
    <cellStyle name="Normal 5 3 27" xfId="8422"/>
    <cellStyle name="Normal 5 3 27 2" xfId="9319"/>
    <cellStyle name="Normal 5 3 27 2 2" xfId="12010"/>
    <cellStyle name="Normal 5 3 27 2 3" xfId="10697"/>
    <cellStyle name="Normal 5 3 27 2_Note Calc" xfId="27625"/>
    <cellStyle name="Normal 5 3 27 3" xfId="11322"/>
    <cellStyle name="Normal 5 3 27 4" xfId="10009"/>
    <cellStyle name="Normal 5 3 27_Forecast" xfId="24424"/>
    <cellStyle name="Normal 5 3 28" xfId="8525"/>
    <cellStyle name="Normal 5 3 28 2" xfId="9371"/>
    <cellStyle name="Normal 5 3 28 2 2" xfId="12062"/>
    <cellStyle name="Normal 5 3 28 2 3" xfId="10749"/>
    <cellStyle name="Normal 5 3 28 2_Note Calc" xfId="27626"/>
    <cellStyle name="Normal 5 3 28 3" xfId="11374"/>
    <cellStyle name="Normal 5 3 28 4" xfId="10061"/>
    <cellStyle name="Normal 5 3 28_Forecast" xfId="24425"/>
    <cellStyle name="Normal 5 3 29" xfId="20150"/>
    <cellStyle name="Normal 5 3 3" xfId="3434"/>
    <cellStyle name="Normal 5 3 4" xfId="3435"/>
    <cellStyle name="Normal 5 3 5" xfId="3436"/>
    <cellStyle name="Normal 5 3 6" xfId="3437"/>
    <cellStyle name="Normal 5 3 7" xfId="3438"/>
    <cellStyle name="Normal 5 3 8" xfId="3439"/>
    <cellStyle name="Normal 5 3 9" xfId="3440"/>
    <cellStyle name="Normal 5 3_Forecast" xfId="24426"/>
    <cellStyle name="Normal 5 30" xfId="3441"/>
    <cellStyle name="Normal 5 31" xfId="8102"/>
    <cellStyle name="Normal 5 31 2" xfId="9117"/>
    <cellStyle name="Normal 5 31 2 2" xfId="11808"/>
    <cellStyle name="Normal 5 31 2 3" xfId="10495"/>
    <cellStyle name="Normal 5 31 2_Note Calc" xfId="27627"/>
    <cellStyle name="Normal 5 31 3" xfId="11120"/>
    <cellStyle name="Normal 5 31 4" xfId="9807"/>
    <cellStyle name="Normal 5 31_Forecast" xfId="24427"/>
    <cellStyle name="Normal 5 32" xfId="8420"/>
    <cellStyle name="Normal 5 32 2" xfId="9317"/>
    <cellStyle name="Normal 5 32 2 2" xfId="12008"/>
    <cellStyle name="Normal 5 32 2 3" xfId="10695"/>
    <cellStyle name="Normal 5 32 2_Note Calc" xfId="27628"/>
    <cellStyle name="Normal 5 32 3" xfId="11320"/>
    <cellStyle name="Normal 5 32 4" xfId="10007"/>
    <cellStyle name="Normal 5 32_Forecast" xfId="24428"/>
    <cellStyle name="Normal 5 33" xfId="8523"/>
    <cellStyle name="Normal 5 33 2" xfId="9369"/>
    <cellStyle name="Normal 5 33 2 2" xfId="12060"/>
    <cellStyle name="Normal 5 33 2 3" xfId="10747"/>
    <cellStyle name="Normal 5 33 2_Note Calc" xfId="27629"/>
    <cellStyle name="Normal 5 33 3" xfId="11372"/>
    <cellStyle name="Normal 5 33 4" xfId="10059"/>
    <cellStyle name="Normal 5 33_Forecast" xfId="24429"/>
    <cellStyle name="Normal 5 34" xfId="12170"/>
    <cellStyle name="Normal 5 35" xfId="21939"/>
    <cellStyle name="Normal 5 36" xfId="21925"/>
    <cellStyle name="Normal 5 37" xfId="27630"/>
    <cellStyle name="Normal 5 4" xfId="3442"/>
    <cellStyle name="Normal 5 4 2" xfId="8105"/>
    <cellStyle name="Normal 5 4 2 2" xfId="9120"/>
    <cellStyle name="Normal 5 4 2 2 2" xfId="11811"/>
    <cellStyle name="Normal 5 4 2 2 3" xfId="10498"/>
    <cellStyle name="Normal 5 4 2 2_Note Calc" xfId="27631"/>
    <cellStyle name="Normal 5 4 2 3" xfId="11123"/>
    <cellStyle name="Normal 5 4 2 4" xfId="9810"/>
    <cellStyle name="Normal 5 4 2_Forecast" xfId="24430"/>
    <cellStyle name="Normal 5 4 3" xfId="8423"/>
    <cellStyle name="Normal 5 4 3 2" xfId="9320"/>
    <cellStyle name="Normal 5 4 3 2 2" xfId="12011"/>
    <cellStyle name="Normal 5 4 3 2 3" xfId="10698"/>
    <cellStyle name="Normal 5 4 3 2_Note Calc" xfId="27632"/>
    <cellStyle name="Normal 5 4 3 3" xfId="11323"/>
    <cellStyle name="Normal 5 4 3 4" xfId="10010"/>
    <cellStyle name="Normal 5 4 3_Forecast" xfId="24431"/>
    <cellStyle name="Normal 5 4 4" xfId="8526"/>
    <cellStyle name="Normal 5 4 4 2" xfId="9372"/>
    <cellStyle name="Normal 5 4 4 2 2" xfId="12063"/>
    <cellStyle name="Normal 5 4 4 2 3" xfId="10750"/>
    <cellStyle name="Normal 5 4 4 2_Note Calc" xfId="27633"/>
    <cellStyle name="Normal 5 4 4 3" xfId="11375"/>
    <cellStyle name="Normal 5 4 4 4" xfId="10062"/>
    <cellStyle name="Normal 5 4 4_Forecast" xfId="24432"/>
    <cellStyle name="Normal 5 4 5" xfId="20151"/>
    <cellStyle name="Normal 5 4_Forecast" xfId="24433"/>
    <cellStyle name="Normal 5 5" xfId="3443"/>
    <cellStyle name="Normal 5 5 2" xfId="8106"/>
    <cellStyle name="Normal 5 5 2 2" xfId="9121"/>
    <cellStyle name="Normal 5 5 2 2 2" xfId="11812"/>
    <cellStyle name="Normal 5 5 2 2 3" xfId="10499"/>
    <cellStyle name="Normal 5 5 2 2_Note Calc" xfId="27634"/>
    <cellStyle name="Normal 5 5 2 3" xfId="11124"/>
    <cellStyle name="Normal 5 5 2 4" xfId="9811"/>
    <cellStyle name="Normal 5 5 2_Forecast" xfId="24434"/>
    <cellStyle name="Normal 5 5 3" xfId="8424"/>
    <cellStyle name="Normal 5 5 3 2" xfId="9321"/>
    <cellStyle name="Normal 5 5 3 2 2" xfId="12012"/>
    <cellStyle name="Normal 5 5 3 2 3" xfId="10699"/>
    <cellStyle name="Normal 5 5 3 2_Note Calc" xfId="27635"/>
    <cellStyle name="Normal 5 5 3 3" xfId="11324"/>
    <cellStyle name="Normal 5 5 3 4" xfId="10011"/>
    <cellStyle name="Normal 5 5 3_Forecast" xfId="24435"/>
    <cellStyle name="Normal 5 5 4" xfId="8527"/>
    <cellStyle name="Normal 5 5 4 2" xfId="9373"/>
    <cellStyle name="Normal 5 5 4 2 2" xfId="12064"/>
    <cellStyle name="Normal 5 5 4 2 3" xfId="10751"/>
    <cellStyle name="Normal 5 5 4 2_Note Calc" xfId="27636"/>
    <cellStyle name="Normal 5 5 4 3" xfId="11376"/>
    <cellStyle name="Normal 5 5 4 4" xfId="10063"/>
    <cellStyle name="Normal 5 5 4_Forecast" xfId="24436"/>
    <cellStyle name="Normal 5 5 5" xfId="20152"/>
    <cellStyle name="Normal 5 5_Forecast" xfId="24437"/>
    <cellStyle name="Normal 5 6" xfId="3444"/>
    <cellStyle name="Normal 5 6 2" xfId="8107"/>
    <cellStyle name="Normal 5 6 2 2" xfId="9122"/>
    <cellStyle name="Normal 5 6 2 2 2" xfId="11813"/>
    <cellStyle name="Normal 5 6 2 2 3" xfId="10500"/>
    <cellStyle name="Normal 5 6 2 2_Note Calc" xfId="27637"/>
    <cellStyle name="Normal 5 6 2 3" xfId="11125"/>
    <cellStyle name="Normal 5 6 2 4" xfId="9812"/>
    <cellStyle name="Normal 5 6 2_Forecast" xfId="24438"/>
    <cellStyle name="Normal 5 6 3" xfId="8425"/>
    <cellStyle name="Normal 5 6 3 2" xfId="9322"/>
    <cellStyle name="Normal 5 6 3 2 2" xfId="12013"/>
    <cellStyle name="Normal 5 6 3 2 3" xfId="10700"/>
    <cellStyle name="Normal 5 6 3 2_Note Calc" xfId="27638"/>
    <cellStyle name="Normal 5 6 3 3" xfId="11325"/>
    <cellStyle name="Normal 5 6 3 4" xfId="10012"/>
    <cellStyle name="Normal 5 6 3_Forecast" xfId="24439"/>
    <cellStyle name="Normal 5 6 4" xfId="8528"/>
    <cellStyle name="Normal 5 6 4 2" xfId="9374"/>
    <cellStyle name="Normal 5 6 4 2 2" xfId="12065"/>
    <cellStyle name="Normal 5 6 4 2 3" xfId="10752"/>
    <cellStyle name="Normal 5 6 4 2_Note Calc" xfId="27639"/>
    <cellStyle name="Normal 5 6 4 3" xfId="11377"/>
    <cellStyle name="Normal 5 6 4 4" xfId="10064"/>
    <cellStyle name="Normal 5 6 4_Forecast" xfId="24440"/>
    <cellStyle name="Normal 5 6 5" xfId="20153"/>
    <cellStyle name="Normal 5 6_Forecast" xfId="24441"/>
    <cellStyle name="Normal 5 7" xfId="3445"/>
    <cellStyle name="Normal 5 7 2" xfId="8108"/>
    <cellStyle name="Normal 5 7 2 2" xfId="9123"/>
    <cellStyle name="Normal 5 7 2 2 2" xfId="11814"/>
    <cellStyle name="Normal 5 7 2 2 3" xfId="10501"/>
    <cellStyle name="Normal 5 7 2 2_Note Calc" xfId="27640"/>
    <cellStyle name="Normal 5 7 2 3" xfId="11126"/>
    <cellStyle name="Normal 5 7 2 4" xfId="9813"/>
    <cellStyle name="Normal 5 7 2_Forecast" xfId="24442"/>
    <cellStyle name="Normal 5 7 3" xfId="8426"/>
    <cellStyle name="Normal 5 7 3 2" xfId="9323"/>
    <cellStyle name="Normal 5 7 3 2 2" xfId="12014"/>
    <cellStyle name="Normal 5 7 3 2 3" xfId="10701"/>
    <cellStyle name="Normal 5 7 3 2_Note Calc" xfId="27641"/>
    <cellStyle name="Normal 5 7 3 3" xfId="11326"/>
    <cellStyle name="Normal 5 7 3 4" xfId="10013"/>
    <cellStyle name="Normal 5 7 3_Forecast" xfId="24443"/>
    <cellStyle name="Normal 5 7 4" xfId="8529"/>
    <cellStyle name="Normal 5 7 4 2" xfId="9375"/>
    <cellStyle name="Normal 5 7 4 2 2" xfId="12066"/>
    <cellStyle name="Normal 5 7 4 2 3" xfId="10753"/>
    <cellStyle name="Normal 5 7 4 2_Note Calc" xfId="27642"/>
    <cellStyle name="Normal 5 7 4 3" xfId="11378"/>
    <cellStyle name="Normal 5 7 4 4" xfId="10065"/>
    <cellStyle name="Normal 5 7 4_Forecast" xfId="24444"/>
    <cellStyle name="Normal 5 7 5" xfId="20154"/>
    <cellStyle name="Normal 5 7_Forecast" xfId="24445"/>
    <cellStyle name="Normal 5 8" xfId="3446"/>
    <cellStyle name="Normal 5 8 2" xfId="20155"/>
    <cellStyle name="Normal 5 8_Note Calc" xfId="27643"/>
    <cellStyle name="Normal 5 9" xfId="3447"/>
    <cellStyle name="Normal 5 9 2" xfId="21761"/>
    <cellStyle name="Normal 5 9_Note Calc" xfId="27644"/>
    <cellStyle name="Normal 5_Forecast" xfId="24446"/>
    <cellStyle name="Normal 50" xfId="20156"/>
    <cellStyle name="Normal 51" xfId="20157"/>
    <cellStyle name="Normal 52" xfId="20158"/>
    <cellStyle name="Normal 53" xfId="20159"/>
    <cellStyle name="Normal 54" xfId="20160"/>
    <cellStyle name="Normal 55" xfId="20161"/>
    <cellStyle name="Normal 56" xfId="20162"/>
    <cellStyle name="Normal 57" xfId="20163"/>
    <cellStyle name="Normal 58" xfId="20164"/>
    <cellStyle name="Normal 59" xfId="20165"/>
    <cellStyle name="Normal 6" xfId="3448"/>
    <cellStyle name="Normal 6 10" xfId="3449"/>
    <cellStyle name="Normal 6 11" xfId="3450"/>
    <cellStyle name="Normal 6 12" xfId="3451"/>
    <cellStyle name="Normal 6 13" xfId="3452"/>
    <cellStyle name="Normal 6 14" xfId="3453"/>
    <cellStyle name="Normal 6 15" xfId="3454"/>
    <cellStyle name="Normal 6 16" xfId="3455"/>
    <cellStyle name="Normal 6 17" xfId="3456"/>
    <cellStyle name="Normal 6 18" xfId="3457"/>
    <cellStyle name="Normal 6 19" xfId="3458"/>
    <cellStyle name="Normal 6 2" xfId="3459"/>
    <cellStyle name="Normal 6 2 2" xfId="3460"/>
    <cellStyle name="Normal 6 2 3" xfId="3461"/>
    <cellStyle name="Normal 6 2 4" xfId="3462"/>
    <cellStyle name="Normal 6 2 5" xfId="3463"/>
    <cellStyle name="Normal 6 2 6" xfId="20167"/>
    <cellStyle name="Normal 6 2_Forecast" xfId="24447"/>
    <cellStyle name="Normal 6 20" xfId="3464"/>
    <cellStyle name="Normal 6 21" xfId="3465"/>
    <cellStyle name="Normal 6 22" xfId="3466"/>
    <cellStyle name="Normal 6 23" xfId="3467"/>
    <cellStyle name="Normal 6 24" xfId="3468"/>
    <cellStyle name="Normal 6 25" xfId="3469"/>
    <cellStyle name="Normal 6 26" xfId="3470"/>
    <cellStyle name="Normal 6 27" xfId="3471"/>
    <cellStyle name="Normal 6 28" xfId="3472"/>
    <cellStyle name="Normal 6 29" xfId="3473"/>
    <cellStyle name="Normal 6 3" xfId="3474"/>
    <cellStyle name="Normal 6 3 10" xfId="3475"/>
    <cellStyle name="Normal 6 3 11" xfId="3476"/>
    <cellStyle name="Normal 6 3 12" xfId="3477"/>
    <cellStyle name="Normal 6 3 13" xfId="3478"/>
    <cellStyle name="Normal 6 3 14" xfId="3479"/>
    <cellStyle name="Normal 6 3 15" xfId="3480"/>
    <cellStyle name="Normal 6 3 16" xfId="3481"/>
    <cellStyle name="Normal 6 3 17" xfId="3482"/>
    <cellStyle name="Normal 6 3 18" xfId="3483"/>
    <cellStyle name="Normal 6 3 19" xfId="3484"/>
    <cellStyle name="Normal 6 3 2" xfId="3485"/>
    <cellStyle name="Normal 6 3 2 10" xfId="3486"/>
    <cellStyle name="Normal 6 3 2 11" xfId="3487"/>
    <cellStyle name="Normal 6 3 2 12" xfId="3488"/>
    <cellStyle name="Normal 6 3 2 13" xfId="3489"/>
    <cellStyle name="Normal 6 3 2 14" xfId="3490"/>
    <cellStyle name="Normal 6 3 2 15" xfId="3491"/>
    <cellStyle name="Normal 6 3 2 16" xfId="3492"/>
    <cellStyle name="Normal 6 3 2 17" xfId="3493"/>
    <cellStyle name="Normal 6 3 2 18" xfId="3494"/>
    <cellStyle name="Normal 6 3 2 19" xfId="3495"/>
    <cellStyle name="Normal 6 3 2 2" xfId="3496"/>
    <cellStyle name="Normal 6 3 2 20" xfId="3497"/>
    <cellStyle name="Normal 6 3 2 21" xfId="3498"/>
    <cellStyle name="Normal 6 3 2 22" xfId="3499"/>
    <cellStyle name="Normal 6 3 2 3" xfId="3500"/>
    <cellStyle name="Normal 6 3 2 4" xfId="3501"/>
    <cellStyle name="Normal 6 3 2 5" xfId="3502"/>
    <cellStyle name="Normal 6 3 2 6" xfId="3503"/>
    <cellStyle name="Normal 6 3 2 7" xfId="3504"/>
    <cellStyle name="Normal 6 3 2 8" xfId="3505"/>
    <cellStyle name="Normal 6 3 2 9" xfId="3506"/>
    <cellStyle name="Normal 6 3 2_Forecast" xfId="24448"/>
    <cellStyle name="Normal 6 3 20" xfId="3507"/>
    <cellStyle name="Normal 6 3 21" xfId="3508"/>
    <cellStyle name="Normal 6 3 22" xfId="3509"/>
    <cellStyle name="Normal 6 3 23" xfId="3510"/>
    <cellStyle name="Normal 6 3 24" xfId="3511"/>
    <cellStyle name="Normal 6 3 25" xfId="3512"/>
    <cellStyle name="Normal 6 3 3" xfId="3513"/>
    <cellStyle name="Normal 6 3 4" xfId="3514"/>
    <cellStyle name="Normal 6 3 5" xfId="3515"/>
    <cellStyle name="Normal 6 3 6" xfId="3516"/>
    <cellStyle name="Normal 6 3 7" xfId="3517"/>
    <cellStyle name="Normal 6 3 8" xfId="3518"/>
    <cellStyle name="Normal 6 3 9" xfId="3519"/>
    <cellStyle name="Normal 6 3_Forecast" xfId="24449"/>
    <cellStyle name="Normal 6 30" xfId="3520"/>
    <cellStyle name="Normal 6 31" xfId="8109"/>
    <cellStyle name="Normal 6 32" xfId="8427"/>
    <cellStyle name="Normal 6 33" xfId="8530"/>
    <cellStyle name="Normal 6 34" xfId="12171"/>
    <cellStyle name="Normal 6 35" xfId="12093"/>
    <cellStyle name="Normal 6 36" xfId="20166"/>
    <cellStyle name="Normal 6 37" xfId="21940"/>
    <cellStyle name="Normal 6 38" xfId="21924"/>
    <cellStyle name="Normal 6 4" xfId="3521"/>
    <cellStyle name="Normal 6 4 2" xfId="20168"/>
    <cellStyle name="Normal 6 4_Note Calc" xfId="27645"/>
    <cellStyle name="Normal 6 5" xfId="3522"/>
    <cellStyle name="Normal 6 5 2" xfId="20169"/>
    <cellStyle name="Normal 6 5_Note Calc" xfId="27646"/>
    <cellStyle name="Normal 6 6" xfId="3523"/>
    <cellStyle name="Normal 6 6 2" xfId="20170"/>
    <cellStyle name="Normal 6 6_Note Calc" xfId="27647"/>
    <cellStyle name="Normal 6 7" xfId="3524"/>
    <cellStyle name="Normal 6 7 2" xfId="20171"/>
    <cellStyle name="Normal 6 7_Note Calc" xfId="27648"/>
    <cellStyle name="Normal 6 8" xfId="3525"/>
    <cellStyle name="Normal 6 8 2" xfId="20172"/>
    <cellStyle name="Normal 6 8_Note Calc" xfId="27649"/>
    <cellStyle name="Normal 6 9" xfId="3526"/>
    <cellStyle name="Normal 6_Forecast" xfId="24450"/>
    <cellStyle name="Normal 60" xfId="20173"/>
    <cellStyle name="Normal 61" xfId="20174"/>
    <cellStyle name="Normal 62" xfId="20175"/>
    <cellStyle name="Normal 63" xfId="20176"/>
    <cellStyle name="Normal 64" xfId="20177"/>
    <cellStyle name="Normal 65" xfId="20178"/>
    <cellStyle name="Normal 66" xfId="20179"/>
    <cellStyle name="Normal 67" xfId="20180"/>
    <cellStyle name="Normal 68" xfId="20181"/>
    <cellStyle name="Normal 69" xfId="20182"/>
    <cellStyle name="Normal 7" xfId="3527"/>
    <cellStyle name="Normal 7 10" xfId="3528"/>
    <cellStyle name="Normal 7 11" xfId="3529"/>
    <cellStyle name="Normal 7 12" xfId="3530"/>
    <cellStyle name="Normal 7 13" xfId="3531"/>
    <cellStyle name="Normal 7 14" xfId="3532"/>
    <cellStyle name="Normal 7 15" xfId="3533"/>
    <cellStyle name="Normal 7 16" xfId="3534"/>
    <cellStyle name="Normal 7 17" xfId="3535"/>
    <cellStyle name="Normal 7 18" xfId="3536"/>
    <cellStyle name="Normal 7 19" xfId="3537"/>
    <cellStyle name="Normal 7 2" xfId="3538"/>
    <cellStyle name="Normal 7 2 2" xfId="3539"/>
    <cellStyle name="Normal 7 2 3" xfId="3540"/>
    <cellStyle name="Normal 7 2 4" xfId="3541"/>
    <cellStyle name="Normal 7 2 5" xfId="3542"/>
    <cellStyle name="Normal 7 2_Forecast" xfId="24451"/>
    <cellStyle name="Normal 7 20" xfId="3543"/>
    <cellStyle name="Normal 7 21" xfId="3544"/>
    <cellStyle name="Normal 7 22" xfId="3545"/>
    <cellStyle name="Normal 7 23" xfId="3546"/>
    <cellStyle name="Normal 7 24" xfId="3547"/>
    <cellStyle name="Normal 7 25" xfId="3548"/>
    <cellStyle name="Normal 7 26" xfId="3549"/>
    <cellStyle name="Normal 7 27" xfId="3550"/>
    <cellStyle name="Normal 7 28" xfId="3551"/>
    <cellStyle name="Normal 7 29" xfId="3552"/>
    <cellStyle name="Normal 7 3" xfId="3553"/>
    <cellStyle name="Normal 7 3 10" xfId="3554"/>
    <cellStyle name="Normal 7 3 11" xfId="3555"/>
    <cellStyle name="Normal 7 3 12" xfId="3556"/>
    <cellStyle name="Normal 7 3 13" xfId="3557"/>
    <cellStyle name="Normal 7 3 14" xfId="3558"/>
    <cellStyle name="Normal 7 3 15" xfId="3559"/>
    <cellStyle name="Normal 7 3 16" xfId="3560"/>
    <cellStyle name="Normal 7 3 17" xfId="3561"/>
    <cellStyle name="Normal 7 3 18" xfId="3562"/>
    <cellStyle name="Normal 7 3 19" xfId="3563"/>
    <cellStyle name="Normal 7 3 2" xfId="3564"/>
    <cellStyle name="Normal 7 3 2 10" xfId="3565"/>
    <cellStyle name="Normal 7 3 2 11" xfId="3566"/>
    <cellStyle name="Normal 7 3 2 12" xfId="3567"/>
    <cellStyle name="Normal 7 3 2 13" xfId="3568"/>
    <cellStyle name="Normal 7 3 2 14" xfId="3569"/>
    <cellStyle name="Normal 7 3 2 15" xfId="3570"/>
    <cellStyle name="Normal 7 3 2 16" xfId="3571"/>
    <cellStyle name="Normal 7 3 2 17" xfId="3572"/>
    <cellStyle name="Normal 7 3 2 18" xfId="3573"/>
    <cellStyle name="Normal 7 3 2 19" xfId="3574"/>
    <cellStyle name="Normal 7 3 2 2" xfId="3575"/>
    <cellStyle name="Normal 7 3 2 20" xfId="3576"/>
    <cellStyle name="Normal 7 3 2 21" xfId="3577"/>
    <cellStyle name="Normal 7 3 2 22" xfId="3578"/>
    <cellStyle name="Normal 7 3 2 3" xfId="3579"/>
    <cellStyle name="Normal 7 3 2 4" xfId="3580"/>
    <cellStyle name="Normal 7 3 2 5" xfId="3581"/>
    <cellStyle name="Normal 7 3 2 6" xfId="3582"/>
    <cellStyle name="Normal 7 3 2 7" xfId="3583"/>
    <cellStyle name="Normal 7 3 2 8" xfId="3584"/>
    <cellStyle name="Normal 7 3 2 9" xfId="3585"/>
    <cellStyle name="Normal 7 3 2_Forecast" xfId="24452"/>
    <cellStyle name="Normal 7 3 20" xfId="3586"/>
    <cellStyle name="Normal 7 3 21" xfId="3587"/>
    <cellStyle name="Normal 7 3 22" xfId="3588"/>
    <cellStyle name="Normal 7 3 23" xfId="3589"/>
    <cellStyle name="Normal 7 3 24" xfId="3590"/>
    <cellStyle name="Normal 7 3 25" xfId="3591"/>
    <cellStyle name="Normal 7 3 3" xfId="3592"/>
    <cellStyle name="Normal 7 3 4" xfId="3593"/>
    <cellStyle name="Normal 7 3 5" xfId="3594"/>
    <cellStyle name="Normal 7 3 6" xfId="3595"/>
    <cellStyle name="Normal 7 3 7" xfId="3596"/>
    <cellStyle name="Normal 7 3 8" xfId="3597"/>
    <cellStyle name="Normal 7 3 9" xfId="3598"/>
    <cellStyle name="Normal 7 3_Forecast" xfId="24453"/>
    <cellStyle name="Normal 7 30" xfId="3599"/>
    <cellStyle name="Normal 7 31" xfId="8110"/>
    <cellStyle name="Normal 7 32" xfId="8428"/>
    <cellStyle name="Normal 7 33" xfId="8531"/>
    <cellStyle name="Normal 7 34" xfId="20183"/>
    <cellStyle name="Normal 7 4" xfId="3600"/>
    <cellStyle name="Normal 7 5" xfId="3601"/>
    <cellStyle name="Normal 7 6" xfId="3602"/>
    <cellStyle name="Normal 7 7" xfId="3603"/>
    <cellStyle name="Normal 7 8" xfId="3604"/>
    <cellStyle name="Normal 7 9" xfId="3605"/>
    <cellStyle name="Normal 7_Forecast" xfId="24454"/>
    <cellStyle name="Normal 70" xfId="20184"/>
    <cellStyle name="Normal 71" xfId="20185"/>
    <cellStyle name="Normal 72" xfId="20186"/>
    <cellStyle name="Normal 73" xfId="20187"/>
    <cellStyle name="Normal 74" xfId="20188"/>
    <cellStyle name="Normal 75" xfId="20189"/>
    <cellStyle name="Normal 76" xfId="20190"/>
    <cellStyle name="Normal 77" xfId="20191"/>
    <cellStyle name="Normal 78" xfId="20192"/>
    <cellStyle name="Normal 79" xfId="20193"/>
    <cellStyle name="Normal 8" xfId="3606"/>
    <cellStyle name="Normal 8 10" xfId="3607"/>
    <cellStyle name="Normal 8 11" xfId="3608"/>
    <cellStyle name="Normal 8 12" xfId="3609"/>
    <cellStyle name="Normal 8 13" xfId="3610"/>
    <cellStyle name="Normal 8 14" xfId="3611"/>
    <cellStyle name="Normal 8 15" xfId="3612"/>
    <cellStyle name="Normal 8 16" xfId="3613"/>
    <cellStyle name="Normal 8 17" xfId="3614"/>
    <cellStyle name="Normal 8 18" xfId="3615"/>
    <cellStyle name="Normal 8 19" xfId="3616"/>
    <cellStyle name="Normal 8 2" xfId="3617"/>
    <cellStyle name="Normal 8 2 2" xfId="3618"/>
    <cellStyle name="Normal 8 2 2 2" xfId="3619"/>
    <cellStyle name="Normal 8 2 2 3" xfId="3620"/>
    <cellStyle name="Normal 8 2 2 4" xfId="3621"/>
    <cellStyle name="Normal 8 2 2 5" xfId="24455"/>
    <cellStyle name="Normal 8 2 2_Forecast" xfId="24456"/>
    <cellStyle name="Normal 8 2 3" xfId="3622"/>
    <cellStyle name="Normal 8 2 4" xfId="3623"/>
    <cellStyle name="Normal 8 2 5" xfId="8111"/>
    <cellStyle name="Normal 8 2 5 2" xfId="9124"/>
    <cellStyle name="Normal 8 2 5 2 2" xfId="11815"/>
    <cellStyle name="Normal 8 2 5 2 3" xfId="10502"/>
    <cellStyle name="Normal 8 2 5 2_Note Calc" xfId="27650"/>
    <cellStyle name="Normal 8 2 5 3" xfId="11127"/>
    <cellStyle name="Normal 8 2 5 4" xfId="9814"/>
    <cellStyle name="Normal 8 2 5_Forecast" xfId="24457"/>
    <cellStyle name="Normal 8 2 6" xfId="8429"/>
    <cellStyle name="Normal 8 2 6 2" xfId="9324"/>
    <cellStyle name="Normal 8 2 6 2 2" xfId="12015"/>
    <cellStyle name="Normal 8 2 6 2 3" xfId="10702"/>
    <cellStyle name="Normal 8 2 6 2_Note Calc" xfId="27651"/>
    <cellStyle name="Normal 8 2 6 3" xfId="11327"/>
    <cellStyle name="Normal 8 2 6 4" xfId="10014"/>
    <cellStyle name="Normal 8 2 6_Forecast" xfId="24458"/>
    <cellStyle name="Normal 8 2 7" xfId="8532"/>
    <cellStyle name="Normal 8 2 7 2" xfId="9376"/>
    <cellStyle name="Normal 8 2 7 2 2" xfId="12067"/>
    <cellStyle name="Normal 8 2 7 2 3" xfId="10754"/>
    <cellStyle name="Normal 8 2 7 2_Note Calc" xfId="27652"/>
    <cellStyle name="Normal 8 2 7 3" xfId="11379"/>
    <cellStyle name="Normal 8 2 7 4" xfId="10066"/>
    <cellStyle name="Normal 8 2 7_Forecast" xfId="24459"/>
    <cellStyle name="Normal 8 2 8" xfId="21643"/>
    <cellStyle name="Normal 8 2_Forecast" xfId="24460"/>
    <cellStyle name="Normal 8 20" xfId="3624"/>
    <cellStyle name="Normal 8 21" xfId="3625"/>
    <cellStyle name="Normal 8 22" xfId="3626"/>
    <cellStyle name="Normal 8 23" xfId="3627"/>
    <cellStyle name="Normal 8 24" xfId="3628"/>
    <cellStyle name="Normal 8 25" xfId="3629"/>
    <cellStyle name="Normal 8 26" xfId="3630"/>
    <cellStyle name="Normal 8 27" xfId="3631"/>
    <cellStyle name="Normal 8 28" xfId="3632"/>
    <cellStyle name="Normal 8 29" xfId="3633"/>
    <cellStyle name="Normal 8 3" xfId="3634"/>
    <cellStyle name="Normal 8 3 2" xfId="8112"/>
    <cellStyle name="Normal 8 3 2 2" xfId="9125"/>
    <cellStyle name="Normal 8 3 2 2 2" xfId="11816"/>
    <cellStyle name="Normal 8 3 2 2 3" xfId="10503"/>
    <cellStyle name="Normal 8 3 2 2_Note Calc" xfId="27653"/>
    <cellStyle name="Normal 8 3 2 3" xfId="11128"/>
    <cellStyle name="Normal 8 3 2 4" xfId="9815"/>
    <cellStyle name="Normal 8 3 2_Forecast" xfId="24461"/>
    <cellStyle name="Normal 8 3 3" xfId="8430"/>
    <cellStyle name="Normal 8 3 3 2" xfId="9325"/>
    <cellStyle name="Normal 8 3 3 2 2" xfId="12016"/>
    <cellStyle name="Normal 8 3 3 2 3" xfId="10703"/>
    <cellStyle name="Normal 8 3 3 2_Note Calc" xfId="27654"/>
    <cellStyle name="Normal 8 3 3 3" xfId="11328"/>
    <cellStyle name="Normal 8 3 3 4" xfId="10015"/>
    <cellStyle name="Normal 8 3 3_Forecast" xfId="24462"/>
    <cellStyle name="Normal 8 3 4" xfId="8533"/>
    <cellStyle name="Normal 8 3 4 2" xfId="9377"/>
    <cellStyle name="Normal 8 3 4 2 2" xfId="12068"/>
    <cellStyle name="Normal 8 3 4 2 3" xfId="10755"/>
    <cellStyle name="Normal 8 3 4 2_Note Calc" xfId="27655"/>
    <cellStyle name="Normal 8 3 4 3" xfId="11380"/>
    <cellStyle name="Normal 8 3 4 4" xfId="10067"/>
    <cellStyle name="Normal 8 3 4_Forecast" xfId="24463"/>
    <cellStyle name="Normal 8 3 5" xfId="21644"/>
    <cellStyle name="Normal 8 3_Forecast" xfId="24464"/>
    <cellStyle name="Normal 8 30" xfId="3635"/>
    <cellStyle name="Normal 8 31" xfId="20194"/>
    <cellStyle name="Normal 8 4" xfId="3636"/>
    <cellStyle name="Normal 8 4 2" xfId="8113"/>
    <cellStyle name="Normal 8 4 2 2" xfId="9126"/>
    <cellStyle name="Normal 8 4 2 2 2" xfId="11817"/>
    <cellStyle name="Normal 8 4 2 2 3" xfId="10504"/>
    <cellStyle name="Normal 8 4 2 2_Note Calc" xfId="27656"/>
    <cellStyle name="Normal 8 4 2 3" xfId="11129"/>
    <cellStyle name="Normal 8 4 2 4" xfId="9816"/>
    <cellStyle name="Normal 8 4 2_Forecast" xfId="24465"/>
    <cellStyle name="Normal 8 4 3" xfId="8431"/>
    <cellStyle name="Normal 8 4 3 2" xfId="9326"/>
    <cellStyle name="Normal 8 4 3 2 2" xfId="12017"/>
    <cellStyle name="Normal 8 4 3 2 3" xfId="10704"/>
    <cellStyle name="Normal 8 4 3 2_Note Calc" xfId="27657"/>
    <cellStyle name="Normal 8 4 3 3" xfId="11329"/>
    <cellStyle name="Normal 8 4 3 4" xfId="10016"/>
    <cellStyle name="Normal 8 4 3_Forecast" xfId="24466"/>
    <cellStyle name="Normal 8 4 4" xfId="8534"/>
    <cellStyle name="Normal 8 4 4 2" xfId="9378"/>
    <cellStyle name="Normal 8 4 4 2 2" xfId="12069"/>
    <cellStyle name="Normal 8 4 4 2 3" xfId="10756"/>
    <cellStyle name="Normal 8 4 4 2_Note Calc" xfId="27658"/>
    <cellStyle name="Normal 8 4 4 3" xfId="11381"/>
    <cellStyle name="Normal 8 4 4 4" xfId="10068"/>
    <cellStyle name="Normal 8 4 4_Forecast" xfId="24467"/>
    <cellStyle name="Normal 8 4_Forecast" xfId="24468"/>
    <cellStyle name="Normal 8 5" xfId="3637"/>
    <cellStyle name="Normal 8 5 2" xfId="8114"/>
    <cellStyle name="Normal 8 5 2 2" xfId="9127"/>
    <cellStyle name="Normal 8 5 2 2 2" xfId="11818"/>
    <cellStyle name="Normal 8 5 2 2 3" xfId="10505"/>
    <cellStyle name="Normal 8 5 2 2_Note Calc" xfId="27659"/>
    <cellStyle name="Normal 8 5 2 3" xfId="11130"/>
    <cellStyle name="Normal 8 5 2 4" xfId="9817"/>
    <cellStyle name="Normal 8 5 2_Forecast" xfId="24469"/>
    <cellStyle name="Normal 8 5 3" xfId="8432"/>
    <cellStyle name="Normal 8 5 3 2" xfId="9327"/>
    <cellStyle name="Normal 8 5 3 2 2" xfId="12018"/>
    <cellStyle name="Normal 8 5 3 2 3" xfId="10705"/>
    <cellStyle name="Normal 8 5 3 2_Note Calc" xfId="27660"/>
    <cellStyle name="Normal 8 5 3 3" xfId="11330"/>
    <cellStyle name="Normal 8 5 3 4" xfId="10017"/>
    <cellStyle name="Normal 8 5 3_Forecast" xfId="24470"/>
    <cellStyle name="Normal 8 5 4" xfId="8535"/>
    <cellStyle name="Normal 8 5 4 2" xfId="9379"/>
    <cellStyle name="Normal 8 5 4 2 2" xfId="12070"/>
    <cellStyle name="Normal 8 5 4 2 3" xfId="10757"/>
    <cellStyle name="Normal 8 5 4 2_Note Calc" xfId="27661"/>
    <cellStyle name="Normal 8 5 4 3" xfId="11382"/>
    <cellStyle name="Normal 8 5 4 4" xfId="10069"/>
    <cellStyle name="Normal 8 5 4_Forecast" xfId="24471"/>
    <cellStyle name="Normal 8 5_Forecast" xfId="24472"/>
    <cellStyle name="Normal 8 6" xfId="3638"/>
    <cellStyle name="Normal 8 6 2" xfId="8115"/>
    <cellStyle name="Normal 8 6 2 2" xfId="9128"/>
    <cellStyle name="Normal 8 6 2 2 2" xfId="11819"/>
    <cellStyle name="Normal 8 6 2 2 3" xfId="10506"/>
    <cellStyle name="Normal 8 6 2 2_Note Calc" xfId="27662"/>
    <cellStyle name="Normal 8 6 2 3" xfId="11131"/>
    <cellStyle name="Normal 8 6 2 4" xfId="9818"/>
    <cellStyle name="Normal 8 6 2_Forecast" xfId="24473"/>
    <cellStyle name="Normal 8 6 3" xfId="8433"/>
    <cellStyle name="Normal 8 6 3 2" xfId="9328"/>
    <cellStyle name="Normal 8 6 3 2 2" xfId="12019"/>
    <cellStyle name="Normal 8 6 3 2 3" xfId="10706"/>
    <cellStyle name="Normal 8 6 3 2_Note Calc" xfId="27663"/>
    <cellStyle name="Normal 8 6 3 3" xfId="11331"/>
    <cellStyle name="Normal 8 6 3 4" xfId="10018"/>
    <cellStyle name="Normal 8 6 3_Forecast" xfId="24474"/>
    <cellStyle name="Normal 8 6 4" xfId="8536"/>
    <cellStyle name="Normal 8 6 4 2" xfId="9380"/>
    <cellStyle name="Normal 8 6 4 2 2" xfId="12071"/>
    <cellStyle name="Normal 8 6 4 2 3" xfId="10758"/>
    <cellStyle name="Normal 8 6 4 2_Note Calc" xfId="27664"/>
    <cellStyle name="Normal 8 6 4 3" xfId="11383"/>
    <cellStyle name="Normal 8 6 4 4" xfId="10070"/>
    <cellStyle name="Normal 8 6 4_Forecast" xfId="24475"/>
    <cellStyle name="Normal 8 6_Forecast" xfId="24476"/>
    <cellStyle name="Normal 8 7" xfId="3639"/>
    <cellStyle name="Normal 8 7 2" xfId="8116"/>
    <cellStyle name="Normal 8 7 2 2" xfId="9129"/>
    <cellStyle name="Normal 8 7 2 2 2" xfId="11820"/>
    <cellStyle name="Normal 8 7 2 2 3" xfId="10507"/>
    <cellStyle name="Normal 8 7 2 2_Note Calc" xfId="27665"/>
    <cellStyle name="Normal 8 7 2 3" xfId="11132"/>
    <cellStyle name="Normal 8 7 2 4" xfId="9819"/>
    <cellStyle name="Normal 8 7 2_Forecast" xfId="24477"/>
    <cellStyle name="Normal 8 7 3" xfId="8434"/>
    <cellStyle name="Normal 8 7 3 2" xfId="9329"/>
    <cellStyle name="Normal 8 7 3 2 2" xfId="12020"/>
    <cellStyle name="Normal 8 7 3 2 3" xfId="10707"/>
    <cellStyle name="Normal 8 7 3 2_Note Calc" xfId="27666"/>
    <cellStyle name="Normal 8 7 3 3" xfId="11332"/>
    <cellStyle name="Normal 8 7 3 4" xfId="10019"/>
    <cellStyle name="Normal 8 7 3_Forecast" xfId="24478"/>
    <cellStyle name="Normal 8 7 4" xfId="8537"/>
    <cellStyle name="Normal 8 7 4 2" xfId="9381"/>
    <cellStyle name="Normal 8 7 4 2 2" xfId="12072"/>
    <cellStyle name="Normal 8 7 4 2 3" xfId="10759"/>
    <cellStyle name="Normal 8 7 4 2_Note Calc" xfId="27667"/>
    <cellStyle name="Normal 8 7 4 3" xfId="11384"/>
    <cellStyle name="Normal 8 7 4 4" xfId="10071"/>
    <cellStyle name="Normal 8 7 4_Forecast" xfId="24479"/>
    <cellStyle name="Normal 8 7_Forecast" xfId="24480"/>
    <cellStyle name="Normal 8 8" xfId="3640"/>
    <cellStyle name="Normal 8 9" xfId="3641"/>
    <cellStyle name="Normal 8_Forecast" xfId="24481"/>
    <cellStyle name="Normal 80" xfId="20195"/>
    <cellStyle name="Normal 81" xfId="20196"/>
    <cellStyle name="Normal 82" xfId="20197"/>
    <cellStyle name="Normal 83" xfId="20198"/>
    <cellStyle name="Normal 84" xfId="20199"/>
    <cellStyle name="Normal 85" xfId="20200"/>
    <cellStyle name="Normal 86" xfId="20201"/>
    <cellStyle name="Normal 87" xfId="20202"/>
    <cellStyle name="Normal 88" xfId="20203"/>
    <cellStyle name="Normal 89" xfId="20204"/>
    <cellStyle name="Normal 9" xfId="3642"/>
    <cellStyle name="Normal 9 10" xfId="3643"/>
    <cellStyle name="Normal 9 11" xfId="3644"/>
    <cellStyle name="Normal 9 12" xfId="3645"/>
    <cellStyle name="Normal 9 13" xfId="3646"/>
    <cellStyle name="Normal 9 14" xfId="3647"/>
    <cellStyle name="Normal 9 15" xfId="3648"/>
    <cellStyle name="Normal 9 16" xfId="3649"/>
    <cellStyle name="Normal 9 17" xfId="3650"/>
    <cellStyle name="Normal 9 18" xfId="3651"/>
    <cellStyle name="Normal 9 19" xfId="3652"/>
    <cellStyle name="Normal 9 2" xfId="3653"/>
    <cellStyle name="Normal 9 2 2" xfId="3654"/>
    <cellStyle name="Normal 9 2 2 2" xfId="3655"/>
    <cellStyle name="Normal 9 2 2 3" xfId="3656"/>
    <cellStyle name="Normal 9 2 2 4" xfId="3657"/>
    <cellStyle name="Normal 9 2 2 5" xfId="24482"/>
    <cellStyle name="Normal 9 2 2_Forecast" xfId="24483"/>
    <cellStyle name="Normal 9 2 3" xfId="3658"/>
    <cellStyle name="Normal 9 2 4" xfId="3659"/>
    <cellStyle name="Normal 9 2 5" xfId="8117"/>
    <cellStyle name="Normal 9 2 5 2" xfId="9130"/>
    <cellStyle name="Normal 9 2 5 2 2" xfId="11821"/>
    <cellStyle name="Normal 9 2 5 2 3" xfId="10508"/>
    <cellStyle name="Normal 9 2 5 2_Note Calc" xfId="27668"/>
    <cellStyle name="Normal 9 2 5 3" xfId="11133"/>
    <cellStyle name="Normal 9 2 5 4" xfId="9820"/>
    <cellStyle name="Normal 9 2 5_Forecast" xfId="24484"/>
    <cellStyle name="Normal 9 2 6" xfId="8435"/>
    <cellStyle name="Normal 9 2 6 2" xfId="9330"/>
    <cellStyle name="Normal 9 2 6 2 2" xfId="12021"/>
    <cellStyle name="Normal 9 2 6 2 3" xfId="10708"/>
    <cellStyle name="Normal 9 2 6 2_Note Calc" xfId="27669"/>
    <cellStyle name="Normal 9 2 6 3" xfId="11333"/>
    <cellStyle name="Normal 9 2 6 4" xfId="10020"/>
    <cellStyle name="Normal 9 2 6_Forecast" xfId="24485"/>
    <cellStyle name="Normal 9 2 7" xfId="8538"/>
    <cellStyle name="Normal 9 2 7 2" xfId="9382"/>
    <cellStyle name="Normal 9 2 7 2 2" xfId="12073"/>
    <cellStyle name="Normal 9 2 7 2 3" xfId="10760"/>
    <cellStyle name="Normal 9 2 7 2_Note Calc" xfId="27670"/>
    <cellStyle name="Normal 9 2 7 3" xfId="11385"/>
    <cellStyle name="Normal 9 2 7 4" xfId="10072"/>
    <cellStyle name="Normal 9 2 7_Forecast" xfId="24486"/>
    <cellStyle name="Normal 9 2 8" xfId="21645"/>
    <cellStyle name="Normal 9 2_Forecast" xfId="24487"/>
    <cellStyle name="Normal 9 20" xfId="3660"/>
    <cellStyle name="Normal 9 21" xfId="3661"/>
    <cellStyle name="Normal 9 22" xfId="3662"/>
    <cellStyle name="Normal 9 23" xfId="3663"/>
    <cellStyle name="Normal 9 24" xfId="3664"/>
    <cellStyle name="Normal 9 25" xfId="3665"/>
    <cellStyle name="Normal 9 26" xfId="3666"/>
    <cellStyle name="Normal 9 27" xfId="3667"/>
    <cellStyle name="Normal 9 28" xfId="3668"/>
    <cellStyle name="Normal 9 29" xfId="3669"/>
    <cellStyle name="Normal 9 3" xfId="3670"/>
    <cellStyle name="Normal 9 3 2" xfId="8118"/>
    <cellStyle name="Normal 9 3 2 2" xfId="9131"/>
    <cellStyle name="Normal 9 3 2 2 2" xfId="11822"/>
    <cellStyle name="Normal 9 3 2 2 3" xfId="10509"/>
    <cellStyle name="Normal 9 3 2 2_Note Calc" xfId="27671"/>
    <cellStyle name="Normal 9 3 2 3" xfId="11134"/>
    <cellStyle name="Normal 9 3 2 4" xfId="9821"/>
    <cellStyle name="Normal 9 3 2_Forecast" xfId="24488"/>
    <cellStyle name="Normal 9 3 3" xfId="8436"/>
    <cellStyle name="Normal 9 3 3 2" xfId="9331"/>
    <cellStyle name="Normal 9 3 3 2 2" xfId="12022"/>
    <cellStyle name="Normal 9 3 3 2 3" xfId="10709"/>
    <cellStyle name="Normal 9 3 3 2_Note Calc" xfId="27672"/>
    <cellStyle name="Normal 9 3 3 3" xfId="11334"/>
    <cellStyle name="Normal 9 3 3 4" xfId="10021"/>
    <cellStyle name="Normal 9 3 3_Forecast" xfId="24489"/>
    <cellStyle name="Normal 9 3 4" xfId="8539"/>
    <cellStyle name="Normal 9 3 4 2" xfId="9383"/>
    <cellStyle name="Normal 9 3 4 2 2" xfId="12074"/>
    <cellStyle name="Normal 9 3 4 2 3" xfId="10761"/>
    <cellStyle name="Normal 9 3 4 2_Note Calc" xfId="27673"/>
    <cellStyle name="Normal 9 3 4 3" xfId="11386"/>
    <cellStyle name="Normal 9 3 4 4" xfId="10073"/>
    <cellStyle name="Normal 9 3 4_Forecast" xfId="24490"/>
    <cellStyle name="Normal 9 3 5" xfId="21646"/>
    <cellStyle name="Normal 9 3_Forecast" xfId="24491"/>
    <cellStyle name="Normal 9 30" xfId="3671"/>
    <cellStyle name="Normal 9 31" xfId="20205"/>
    <cellStyle name="Normal 9 4" xfId="3672"/>
    <cellStyle name="Normal 9 4 2" xfId="8119"/>
    <cellStyle name="Normal 9 4 2 2" xfId="9132"/>
    <cellStyle name="Normal 9 4 2 2 2" xfId="11823"/>
    <cellStyle name="Normal 9 4 2 2 3" xfId="10510"/>
    <cellStyle name="Normal 9 4 2 2_Note Calc" xfId="27674"/>
    <cellStyle name="Normal 9 4 2 3" xfId="11135"/>
    <cellStyle name="Normal 9 4 2 4" xfId="9822"/>
    <cellStyle name="Normal 9 4 2_Forecast" xfId="24492"/>
    <cellStyle name="Normal 9 4 3" xfId="8437"/>
    <cellStyle name="Normal 9 4 3 2" xfId="9332"/>
    <cellStyle name="Normal 9 4 3 2 2" xfId="12023"/>
    <cellStyle name="Normal 9 4 3 2 3" xfId="10710"/>
    <cellStyle name="Normal 9 4 3 2_Note Calc" xfId="27675"/>
    <cellStyle name="Normal 9 4 3 3" xfId="11335"/>
    <cellStyle name="Normal 9 4 3 4" xfId="10022"/>
    <cellStyle name="Normal 9 4 3_Forecast" xfId="24493"/>
    <cellStyle name="Normal 9 4 4" xfId="8540"/>
    <cellStyle name="Normal 9 4 4 2" xfId="9384"/>
    <cellStyle name="Normal 9 4 4 2 2" xfId="12075"/>
    <cellStyle name="Normal 9 4 4 2 3" xfId="10762"/>
    <cellStyle name="Normal 9 4 4 2_Note Calc" xfId="27676"/>
    <cellStyle name="Normal 9 4 4 3" xfId="11387"/>
    <cellStyle name="Normal 9 4 4 4" xfId="10074"/>
    <cellStyle name="Normal 9 4 4_Forecast" xfId="24494"/>
    <cellStyle name="Normal 9 4_Forecast" xfId="24495"/>
    <cellStyle name="Normal 9 5" xfId="3673"/>
    <cellStyle name="Normal 9 5 2" xfId="8120"/>
    <cellStyle name="Normal 9 5 2 2" xfId="9133"/>
    <cellStyle name="Normal 9 5 2 2 2" xfId="11824"/>
    <cellStyle name="Normal 9 5 2 2 3" xfId="10511"/>
    <cellStyle name="Normal 9 5 2 2_Note Calc" xfId="27677"/>
    <cellStyle name="Normal 9 5 2 3" xfId="11136"/>
    <cellStyle name="Normal 9 5 2 4" xfId="9823"/>
    <cellStyle name="Normal 9 5 2_Forecast" xfId="24496"/>
    <cellStyle name="Normal 9 5 3" xfId="8438"/>
    <cellStyle name="Normal 9 5 3 2" xfId="9333"/>
    <cellStyle name="Normal 9 5 3 2 2" xfId="12024"/>
    <cellStyle name="Normal 9 5 3 2 3" xfId="10711"/>
    <cellStyle name="Normal 9 5 3 2_Note Calc" xfId="27678"/>
    <cellStyle name="Normal 9 5 3 3" xfId="11336"/>
    <cellStyle name="Normal 9 5 3 4" xfId="10023"/>
    <cellStyle name="Normal 9 5 3_Forecast" xfId="24497"/>
    <cellStyle name="Normal 9 5 4" xfId="8541"/>
    <cellStyle name="Normal 9 5 4 2" xfId="9385"/>
    <cellStyle name="Normal 9 5 4 2 2" xfId="12076"/>
    <cellStyle name="Normal 9 5 4 2 3" xfId="10763"/>
    <cellStyle name="Normal 9 5 4 2_Note Calc" xfId="27679"/>
    <cellStyle name="Normal 9 5 4 3" xfId="11388"/>
    <cellStyle name="Normal 9 5 4 4" xfId="10075"/>
    <cellStyle name="Normal 9 5 4_Forecast" xfId="24498"/>
    <cellStyle name="Normal 9 5_Forecast" xfId="24499"/>
    <cellStyle name="Normal 9 6" xfId="3674"/>
    <cellStyle name="Normal 9 6 2" xfId="8121"/>
    <cellStyle name="Normal 9 6 2 2" xfId="9134"/>
    <cellStyle name="Normal 9 6 2 2 2" xfId="11825"/>
    <cellStyle name="Normal 9 6 2 2 3" xfId="10512"/>
    <cellStyle name="Normal 9 6 2 2_Note Calc" xfId="27680"/>
    <cellStyle name="Normal 9 6 2 3" xfId="11137"/>
    <cellStyle name="Normal 9 6 2 4" xfId="9824"/>
    <cellStyle name="Normal 9 6 2_Forecast" xfId="24500"/>
    <cellStyle name="Normal 9 6 3" xfId="8439"/>
    <cellStyle name="Normal 9 6 3 2" xfId="9334"/>
    <cellStyle name="Normal 9 6 3 2 2" xfId="12025"/>
    <cellStyle name="Normal 9 6 3 2 3" xfId="10712"/>
    <cellStyle name="Normal 9 6 3 2_Note Calc" xfId="27681"/>
    <cellStyle name="Normal 9 6 3 3" xfId="11337"/>
    <cellStyle name="Normal 9 6 3 4" xfId="10024"/>
    <cellStyle name="Normal 9 6 3_Forecast" xfId="24501"/>
    <cellStyle name="Normal 9 6 4" xfId="8542"/>
    <cellStyle name="Normal 9 6 4 2" xfId="9386"/>
    <cellStyle name="Normal 9 6 4 2 2" xfId="12077"/>
    <cellStyle name="Normal 9 6 4 2 3" xfId="10764"/>
    <cellStyle name="Normal 9 6 4 2_Note Calc" xfId="27682"/>
    <cellStyle name="Normal 9 6 4 3" xfId="11389"/>
    <cellStyle name="Normal 9 6 4 4" xfId="10076"/>
    <cellStyle name="Normal 9 6 4_Forecast" xfId="24502"/>
    <cellStyle name="Normal 9 6_Forecast" xfId="24503"/>
    <cellStyle name="Normal 9 7" xfId="3675"/>
    <cellStyle name="Normal 9 7 2" xfId="8122"/>
    <cellStyle name="Normal 9 7 2 2" xfId="9135"/>
    <cellStyle name="Normal 9 7 2 2 2" xfId="11826"/>
    <cellStyle name="Normal 9 7 2 2 3" xfId="10513"/>
    <cellStyle name="Normal 9 7 2 2_Note Calc" xfId="27683"/>
    <cellStyle name="Normal 9 7 2 3" xfId="11138"/>
    <cellStyle name="Normal 9 7 2 4" xfId="9825"/>
    <cellStyle name="Normal 9 7 2_Forecast" xfId="24504"/>
    <cellStyle name="Normal 9 7 3" xfId="8440"/>
    <cellStyle name="Normal 9 7 3 2" xfId="9335"/>
    <cellStyle name="Normal 9 7 3 2 2" xfId="12026"/>
    <cellStyle name="Normal 9 7 3 2 3" xfId="10713"/>
    <cellStyle name="Normal 9 7 3 2_Note Calc" xfId="27684"/>
    <cellStyle name="Normal 9 7 3 3" xfId="11338"/>
    <cellStyle name="Normal 9 7 3 4" xfId="10025"/>
    <cellStyle name="Normal 9 7 3_Forecast" xfId="24505"/>
    <cellStyle name="Normal 9 7 4" xfId="8543"/>
    <cellStyle name="Normal 9 7 4 2" xfId="9387"/>
    <cellStyle name="Normal 9 7 4 2 2" xfId="12078"/>
    <cellStyle name="Normal 9 7 4 2 3" xfId="10765"/>
    <cellStyle name="Normal 9 7 4 2_Note Calc" xfId="27685"/>
    <cellStyle name="Normal 9 7 4 3" xfId="11390"/>
    <cellStyle name="Normal 9 7 4 4" xfId="10077"/>
    <cellStyle name="Normal 9 7 4_Forecast" xfId="24506"/>
    <cellStyle name="Normal 9 7_Forecast" xfId="24507"/>
    <cellStyle name="Normal 9 8" xfId="3676"/>
    <cellStyle name="Normal 9 9" xfId="3677"/>
    <cellStyle name="Normal 9_Forecast" xfId="24508"/>
    <cellStyle name="Normal 90" xfId="20206"/>
    <cellStyle name="Normal 91" xfId="20207"/>
    <cellStyle name="Normal 92" xfId="20208"/>
    <cellStyle name="Normal 93" xfId="20209"/>
    <cellStyle name="Normal 93 2" xfId="21769"/>
    <cellStyle name="Normal 93_Note Calc" xfId="27686"/>
    <cellStyle name="Normal 94" xfId="20210"/>
    <cellStyle name="Normal 95" xfId="20211"/>
    <cellStyle name="Normal 96" xfId="20212"/>
    <cellStyle name="Normal 97" xfId="20213"/>
    <cellStyle name="Normal 98" xfId="20214"/>
    <cellStyle name="Normal 99" xfId="20215"/>
    <cellStyle name="Normal 99 2" xfId="21647"/>
    <cellStyle name="Normal 99 3" xfId="21648"/>
    <cellStyle name="Normal 99_Note Calc" xfId="27687"/>
    <cellStyle name="Normal_Prior-CSV" xfId="27897"/>
    <cellStyle name="Normal_Prior-CSV_2" xfId="27906"/>
    <cellStyle name="Normal_Prior-CSV_3" xfId="27907"/>
    <cellStyle name="Normal_Prior-CSV_4" xfId="27904"/>
    <cellStyle name="Normal_Prior-CSV_5" xfId="27905"/>
    <cellStyle name="Normal_Prior-CSV_6" xfId="27908"/>
    <cellStyle name="Normal_SFPR" xfId="21880"/>
    <cellStyle name="Normal_SFPR_2" xfId="26510"/>
    <cellStyle name="Normal_USASFF_1" xfId="27903"/>
    <cellStyle name="Note 10" xfId="12231"/>
    <cellStyle name="Note 10 2" xfId="20216"/>
    <cellStyle name="Note 10_Forecast" xfId="24509"/>
    <cellStyle name="Note 100" xfId="20217"/>
    <cellStyle name="Note 101" xfId="20218"/>
    <cellStyle name="Note 102" xfId="20219"/>
    <cellStyle name="Note 103" xfId="20220"/>
    <cellStyle name="Note 104" xfId="20221"/>
    <cellStyle name="Note 105" xfId="20222"/>
    <cellStyle name="Note 106" xfId="20223"/>
    <cellStyle name="Note 107" xfId="20224"/>
    <cellStyle name="Note 108" xfId="20225"/>
    <cellStyle name="Note 109" xfId="20226"/>
    <cellStyle name="Note 11" xfId="20227"/>
    <cellStyle name="Note 11 2" xfId="24510"/>
    <cellStyle name="Note 11_Forecast" xfId="24511"/>
    <cellStyle name="Note 110" xfId="20228"/>
    <cellStyle name="Note 111" xfId="20229"/>
    <cellStyle name="Note 112" xfId="20230"/>
    <cellStyle name="Note 113" xfId="20231"/>
    <cellStyle name="Note 114" xfId="20232"/>
    <cellStyle name="Note 115" xfId="20233"/>
    <cellStyle name="Note 116" xfId="20234"/>
    <cellStyle name="Note 117" xfId="20235"/>
    <cellStyle name="Note 118" xfId="20236"/>
    <cellStyle name="Note 119" xfId="20237"/>
    <cellStyle name="Note 12" xfId="20238"/>
    <cellStyle name="Note 120" xfId="20239"/>
    <cellStyle name="Note 121" xfId="20240"/>
    <cellStyle name="Note 122" xfId="20241"/>
    <cellStyle name="Note 123" xfId="20242"/>
    <cellStyle name="Note 124" xfId="20243"/>
    <cellStyle name="Note 125" xfId="20244"/>
    <cellStyle name="Note 126" xfId="20245"/>
    <cellStyle name="Note 127" xfId="20246"/>
    <cellStyle name="Note 128" xfId="20247"/>
    <cellStyle name="Note 129" xfId="20248"/>
    <cellStyle name="Note 13" xfId="20249"/>
    <cellStyle name="Note 130" xfId="20250"/>
    <cellStyle name="Note 131" xfId="20251"/>
    <cellStyle name="Note 132" xfId="20252"/>
    <cellStyle name="Note 133" xfId="20253"/>
    <cellStyle name="Note 134" xfId="20254"/>
    <cellStyle name="Note 135" xfId="20255"/>
    <cellStyle name="Note 136" xfId="20256"/>
    <cellStyle name="Note 137" xfId="20257"/>
    <cellStyle name="Note 138" xfId="20258"/>
    <cellStyle name="Note 139" xfId="20259"/>
    <cellStyle name="Note 14" xfId="20260"/>
    <cellStyle name="Note 140" xfId="20261"/>
    <cellStyle name="Note 141" xfId="20262"/>
    <cellStyle name="Note 142" xfId="20263"/>
    <cellStyle name="Note 143" xfId="20264"/>
    <cellStyle name="Note 144" xfId="20265"/>
    <cellStyle name="Note 145" xfId="20266"/>
    <cellStyle name="Note 146" xfId="20267"/>
    <cellStyle name="Note 147" xfId="20268"/>
    <cellStyle name="Note 148" xfId="20269"/>
    <cellStyle name="Note 149" xfId="20270"/>
    <cellStyle name="Note 15" xfId="20271"/>
    <cellStyle name="Note 150" xfId="20272"/>
    <cellStyle name="Note 151" xfId="20273"/>
    <cellStyle name="Note 152" xfId="20274"/>
    <cellStyle name="Note 153" xfId="20275"/>
    <cellStyle name="Note 154" xfId="20276"/>
    <cellStyle name="Note 155" xfId="20277"/>
    <cellStyle name="Note 156" xfId="20278"/>
    <cellStyle name="Note 157" xfId="20279"/>
    <cellStyle name="Note 158" xfId="20280"/>
    <cellStyle name="Note 159" xfId="20281"/>
    <cellStyle name="Note 16" xfId="20282"/>
    <cellStyle name="Note 160" xfId="20283"/>
    <cellStyle name="Note 161" xfId="20284"/>
    <cellStyle name="Note 162" xfId="20285"/>
    <cellStyle name="Note 163" xfId="20286"/>
    <cellStyle name="Note 163 2" xfId="21649"/>
    <cellStyle name="Note 163 3" xfId="21650"/>
    <cellStyle name="Note 163_Note Calc" xfId="27688"/>
    <cellStyle name="Note 164" xfId="20287"/>
    <cellStyle name="Note 165" xfId="20288"/>
    <cellStyle name="Note 166" xfId="20289"/>
    <cellStyle name="Note 167" xfId="20290"/>
    <cellStyle name="Note 168" xfId="20291"/>
    <cellStyle name="Note 169" xfId="20292"/>
    <cellStyle name="Note 17" xfId="20293"/>
    <cellStyle name="Note 170" xfId="20294"/>
    <cellStyle name="Note 171" xfId="20295"/>
    <cellStyle name="Note 172" xfId="20296"/>
    <cellStyle name="Note 173" xfId="20297"/>
    <cellStyle name="Note 174" xfId="20298"/>
    <cellStyle name="Note 175" xfId="20299"/>
    <cellStyle name="Note 176" xfId="20300"/>
    <cellStyle name="Note 177" xfId="20301"/>
    <cellStyle name="Note 178" xfId="20302"/>
    <cellStyle name="Note 179" xfId="20303"/>
    <cellStyle name="Note 18" xfId="20304"/>
    <cellStyle name="Note 180" xfId="20305"/>
    <cellStyle name="Note 181" xfId="20306"/>
    <cellStyle name="Note 182" xfId="20307"/>
    <cellStyle name="Note 183" xfId="20308"/>
    <cellStyle name="Note 184" xfId="20309"/>
    <cellStyle name="Note 185" xfId="20310"/>
    <cellStyle name="Note 186" xfId="20311"/>
    <cellStyle name="Note 187" xfId="20312"/>
    <cellStyle name="Note 188" xfId="20313"/>
    <cellStyle name="Note 189" xfId="20314"/>
    <cellStyle name="Note 19" xfId="20315"/>
    <cellStyle name="Note 190" xfId="20316"/>
    <cellStyle name="Note 191" xfId="20317"/>
    <cellStyle name="Note 192" xfId="20318"/>
    <cellStyle name="Note 193" xfId="20319"/>
    <cellStyle name="Note 194" xfId="20320"/>
    <cellStyle name="Note 195" xfId="20321"/>
    <cellStyle name="Note 196" xfId="20322"/>
    <cellStyle name="Note 197" xfId="20323"/>
    <cellStyle name="Note 198" xfId="20324"/>
    <cellStyle name="Note 199" xfId="20325"/>
    <cellStyle name="Note 2" xfId="3678"/>
    <cellStyle name="Note 2 10" xfId="3679"/>
    <cellStyle name="Note 2 11" xfId="3680"/>
    <cellStyle name="Note 2 12" xfId="3681"/>
    <cellStyle name="Note 2 13" xfId="3682"/>
    <cellStyle name="Note 2 14" xfId="3683"/>
    <cellStyle name="Note 2 15" xfId="3684"/>
    <cellStyle name="Note 2 16" xfId="3685"/>
    <cellStyle name="Note 2 17" xfId="3686"/>
    <cellStyle name="Note 2 18" xfId="3687"/>
    <cellStyle name="Note 2 19" xfId="3688"/>
    <cellStyle name="Note 2 2" xfId="3689"/>
    <cellStyle name="Note 2 2 2" xfId="3690"/>
    <cellStyle name="Note 2 2 2 10" xfId="3691"/>
    <cellStyle name="Note 2 2 2 11" xfId="3692"/>
    <cellStyle name="Note 2 2 2 12" xfId="3693"/>
    <cellStyle name="Note 2 2 2 13" xfId="3694"/>
    <cellStyle name="Note 2 2 2 14" xfId="3695"/>
    <cellStyle name="Note 2 2 2 15" xfId="3696"/>
    <cellStyle name="Note 2 2 2 16" xfId="3697"/>
    <cellStyle name="Note 2 2 2 17" xfId="3698"/>
    <cellStyle name="Note 2 2 2 18" xfId="3699"/>
    <cellStyle name="Note 2 2 2 19" xfId="3700"/>
    <cellStyle name="Note 2 2 2 2" xfId="3701"/>
    <cellStyle name="Note 2 2 2 2 2" xfId="24512"/>
    <cellStyle name="Note 2 2 2 2_Forecast" xfId="24513"/>
    <cellStyle name="Note 2 2 2 20" xfId="3702"/>
    <cellStyle name="Note 2 2 2 21" xfId="3703"/>
    <cellStyle name="Note 2 2 2 22" xfId="3704"/>
    <cellStyle name="Note 2 2 2 22 2" xfId="8673"/>
    <cellStyle name="Note 2 2 2 22 3" xfId="8849"/>
    <cellStyle name="Note 2 2 2 22_Forecast" xfId="24514"/>
    <cellStyle name="Note 2 2 2 23" xfId="3705"/>
    <cellStyle name="Note 2 2 2 24" xfId="24515"/>
    <cellStyle name="Note 2 2 2 3" xfId="3706"/>
    <cellStyle name="Note 2 2 2 3 2" xfId="24516"/>
    <cellStyle name="Note 2 2 2 3_Forecast" xfId="24517"/>
    <cellStyle name="Note 2 2 2 4" xfId="3707"/>
    <cellStyle name="Note 2 2 2 5" xfId="3708"/>
    <cellStyle name="Note 2 2 2 6" xfId="3709"/>
    <cellStyle name="Note 2 2 2 7" xfId="3710"/>
    <cellStyle name="Note 2 2 2 8" xfId="3711"/>
    <cellStyle name="Note 2 2 2 9" xfId="3712"/>
    <cellStyle name="Note 2 2 2_Forecast" xfId="24518"/>
    <cellStyle name="Note 2 2 3" xfId="3713"/>
    <cellStyle name="Note 2 2 4" xfId="3714"/>
    <cellStyle name="Note 2 2 5" xfId="8124"/>
    <cellStyle name="Note 2 2 5 2" xfId="9137"/>
    <cellStyle name="Note 2 2 5 2 2" xfId="11828"/>
    <cellStyle name="Note 2 2 5 2 3" xfId="10515"/>
    <cellStyle name="Note 2 2 5 2_Note Calc" xfId="27689"/>
    <cellStyle name="Note 2 2 5 3" xfId="11140"/>
    <cellStyle name="Note 2 2 5 4" xfId="9827"/>
    <cellStyle name="Note 2 2 5_Forecast" xfId="24519"/>
    <cellStyle name="Note 2 2 6" xfId="8442"/>
    <cellStyle name="Note 2 2 6 2" xfId="9337"/>
    <cellStyle name="Note 2 2 6 2 2" xfId="12028"/>
    <cellStyle name="Note 2 2 6 2 3" xfId="10715"/>
    <cellStyle name="Note 2 2 6 2_Note Calc" xfId="27690"/>
    <cellStyle name="Note 2 2 6 3" xfId="11340"/>
    <cellStyle name="Note 2 2 6 4" xfId="10027"/>
    <cellStyle name="Note 2 2 6_Forecast" xfId="24520"/>
    <cellStyle name="Note 2 2 7" xfId="8545"/>
    <cellStyle name="Note 2 2 7 2" xfId="9389"/>
    <cellStyle name="Note 2 2 7 2 2" xfId="12080"/>
    <cellStyle name="Note 2 2 7 2 3" xfId="10767"/>
    <cellStyle name="Note 2 2 7 2_Note Calc" xfId="27691"/>
    <cellStyle name="Note 2 2 7 3" xfId="11392"/>
    <cellStyle name="Note 2 2 7 4" xfId="10079"/>
    <cellStyle name="Note 2 2 7_Forecast" xfId="24521"/>
    <cellStyle name="Note 2 2 8" xfId="21651"/>
    <cellStyle name="Note 2 2_Forecast" xfId="24522"/>
    <cellStyle name="Note 2 20" xfId="3715"/>
    <cellStyle name="Note 2 21" xfId="3716"/>
    <cellStyle name="Note 2 22" xfId="3717"/>
    <cellStyle name="Note 2 23" xfId="3718"/>
    <cellStyle name="Note 2 24" xfId="3719"/>
    <cellStyle name="Note 2 25" xfId="3720"/>
    <cellStyle name="Note 2 26" xfId="3721"/>
    <cellStyle name="Note 2 27" xfId="3722"/>
    <cellStyle name="Note 2 28" xfId="3723"/>
    <cellStyle name="Note 2 29" xfId="3724"/>
    <cellStyle name="Note 2 3" xfId="3725"/>
    <cellStyle name="Note 2 3 2" xfId="8125"/>
    <cellStyle name="Note 2 3 2 2" xfId="9138"/>
    <cellStyle name="Note 2 3 2 2 2" xfId="11829"/>
    <cellStyle name="Note 2 3 2 2 3" xfId="10516"/>
    <cellStyle name="Note 2 3 2 2_Note Calc" xfId="27692"/>
    <cellStyle name="Note 2 3 2 3" xfId="11141"/>
    <cellStyle name="Note 2 3 2 4" xfId="9828"/>
    <cellStyle name="Note 2 3 2_Forecast" xfId="24523"/>
    <cellStyle name="Note 2 3 3" xfId="8443"/>
    <cellStyle name="Note 2 3 3 2" xfId="9338"/>
    <cellStyle name="Note 2 3 3 2 2" xfId="12029"/>
    <cellStyle name="Note 2 3 3 2 3" xfId="10716"/>
    <cellStyle name="Note 2 3 3 2_Note Calc" xfId="27693"/>
    <cellStyle name="Note 2 3 3 3" xfId="11341"/>
    <cellStyle name="Note 2 3 3 4" xfId="10028"/>
    <cellStyle name="Note 2 3 3_Forecast" xfId="24524"/>
    <cellStyle name="Note 2 3 4" xfId="8546"/>
    <cellStyle name="Note 2 3 4 2" xfId="9390"/>
    <cellStyle name="Note 2 3 4 2 2" xfId="12081"/>
    <cellStyle name="Note 2 3 4 2 3" xfId="10768"/>
    <cellStyle name="Note 2 3 4 2_Note Calc" xfId="27694"/>
    <cellStyle name="Note 2 3 4 3" xfId="11393"/>
    <cellStyle name="Note 2 3 4 4" xfId="10080"/>
    <cellStyle name="Note 2 3 4_Forecast" xfId="24525"/>
    <cellStyle name="Note 2 3 5" xfId="21652"/>
    <cellStyle name="Note 2 3_Forecast" xfId="24526"/>
    <cellStyle name="Note 2 30" xfId="3726"/>
    <cellStyle name="Note 2 31" xfId="8123"/>
    <cellStyle name="Note 2 31 2" xfId="9136"/>
    <cellStyle name="Note 2 31 2 2" xfId="11827"/>
    <cellStyle name="Note 2 31 2 3" xfId="10514"/>
    <cellStyle name="Note 2 31 2_Note Calc" xfId="27695"/>
    <cellStyle name="Note 2 31 3" xfId="11139"/>
    <cellStyle name="Note 2 31 4" xfId="9826"/>
    <cellStyle name="Note 2 31_Forecast" xfId="24527"/>
    <cellStyle name="Note 2 32" xfId="8441"/>
    <cellStyle name="Note 2 32 2" xfId="9336"/>
    <cellStyle name="Note 2 32 2 2" xfId="12027"/>
    <cellStyle name="Note 2 32 2 3" xfId="10714"/>
    <cellStyle name="Note 2 32 2_Note Calc" xfId="27696"/>
    <cellStyle name="Note 2 32 3" xfId="11339"/>
    <cellStyle name="Note 2 32 4" xfId="10026"/>
    <cellStyle name="Note 2 32_Forecast" xfId="24528"/>
    <cellStyle name="Note 2 33" xfId="8544"/>
    <cellStyle name="Note 2 33 2" xfId="9388"/>
    <cellStyle name="Note 2 33 2 2" xfId="12079"/>
    <cellStyle name="Note 2 33 2 3" xfId="10766"/>
    <cellStyle name="Note 2 33 2_Note Calc" xfId="27697"/>
    <cellStyle name="Note 2 33 3" xfId="11391"/>
    <cellStyle name="Note 2 33 4" xfId="10078"/>
    <cellStyle name="Note 2 33_Forecast" xfId="24529"/>
    <cellStyle name="Note 2 34" xfId="12172"/>
    <cellStyle name="Note 2 35" xfId="20326"/>
    <cellStyle name="Note 2 36" xfId="27698"/>
    <cellStyle name="Note 2 4" xfId="3727"/>
    <cellStyle name="Note 2 4 2" xfId="8126"/>
    <cellStyle name="Note 2 4 2 2" xfId="9139"/>
    <cellStyle name="Note 2 4 2 2 2" xfId="11830"/>
    <cellStyle name="Note 2 4 2 2 3" xfId="10517"/>
    <cellStyle name="Note 2 4 2 2_Note Calc" xfId="27699"/>
    <cellStyle name="Note 2 4 2 3" xfId="11142"/>
    <cellStyle name="Note 2 4 2 4" xfId="9829"/>
    <cellStyle name="Note 2 4 2_Forecast" xfId="24530"/>
    <cellStyle name="Note 2 4 3" xfId="8444"/>
    <cellStyle name="Note 2 4 3 2" xfId="9339"/>
    <cellStyle name="Note 2 4 3 2 2" xfId="12030"/>
    <cellStyle name="Note 2 4 3 2 3" xfId="10717"/>
    <cellStyle name="Note 2 4 3 2_Note Calc" xfId="27700"/>
    <cellStyle name="Note 2 4 3 3" xfId="11342"/>
    <cellStyle name="Note 2 4 3 4" xfId="10029"/>
    <cellStyle name="Note 2 4 3_Forecast" xfId="24531"/>
    <cellStyle name="Note 2 4 4" xfId="8547"/>
    <cellStyle name="Note 2 4 4 2" xfId="9391"/>
    <cellStyle name="Note 2 4 4 2 2" xfId="12082"/>
    <cellStyle name="Note 2 4 4 2 3" xfId="10769"/>
    <cellStyle name="Note 2 4 4 2_Note Calc" xfId="27701"/>
    <cellStyle name="Note 2 4 4 3" xfId="11394"/>
    <cellStyle name="Note 2 4 4 4" xfId="10081"/>
    <cellStyle name="Note 2 4 4_Forecast" xfId="24532"/>
    <cellStyle name="Note 2 4 5" xfId="21653"/>
    <cellStyle name="Note 2 4_Forecast" xfId="24533"/>
    <cellStyle name="Note 2 5" xfId="3728"/>
    <cellStyle name="Note 2 5 2" xfId="8127"/>
    <cellStyle name="Note 2 5 2 2" xfId="9140"/>
    <cellStyle name="Note 2 5 2 2 2" xfId="11831"/>
    <cellStyle name="Note 2 5 2 2 3" xfId="10518"/>
    <cellStyle name="Note 2 5 2 2_Note Calc" xfId="27702"/>
    <cellStyle name="Note 2 5 2 3" xfId="11143"/>
    <cellStyle name="Note 2 5 2 4" xfId="9830"/>
    <cellStyle name="Note 2 5 2_Forecast" xfId="24534"/>
    <cellStyle name="Note 2 5 3" xfId="8445"/>
    <cellStyle name="Note 2 5 3 2" xfId="9340"/>
    <cellStyle name="Note 2 5 3 2 2" xfId="12031"/>
    <cellStyle name="Note 2 5 3 2 3" xfId="10718"/>
    <cellStyle name="Note 2 5 3 2_Note Calc" xfId="27703"/>
    <cellStyle name="Note 2 5 3 3" xfId="11343"/>
    <cellStyle name="Note 2 5 3 4" xfId="10030"/>
    <cellStyle name="Note 2 5 3_Forecast" xfId="24535"/>
    <cellStyle name="Note 2 5 4" xfId="8548"/>
    <cellStyle name="Note 2 5 4 2" xfId="9392"/>
    <cellStyle name="Note 2 5 4 2 2" xfId="12083"/>
    <cellStyle name="Note 2 5 4 2 3" xfId="10770"/>
    <cellStyle name="Note 2 5 4 2_Note Calc" xfId="27704"/>
    <cellStyle name="Note 2 5 4 3" xfId="11395"/>
    <cellStyle name="Note 2 5 4 4" xfId="10082"/>
    <cellStyle name="Note 2 5 4_Forecast" xfId="24536"/>
    <cellStyle name="Note 2 5_Forecast" xfId="24537"/>
    <cellStyle name="Note 2 6" xfId="3729"/>
    <cellStyle name="Note 2 6 2" xfId="8128"/>
    <cellStyle name="Note 2 6 2 2" xfId="9141"/>
    <cellStyle name="Note 2 6 2 2 2" xfId="11832"/>
    <cellStyle name="Note 2 6 2 2 3" xfId="10519"/>
    <cellStyle name="Note 2 6 2 2_Note Calc" xfId="27705"/>
    <cellStyle name="Note 2 6 2 3" xfId="11144"/>
    <cellStyle name="Note 2 6 2 4" xfId="9831"/>
    <cellStyle name="Note 2 6 2_Forecast" xfId="24538"/>
    <cellStyle name="Note 2 6 3" xfId="8446"/>
    <cellStyle name="Note 2 6 3 2" xfId="9341"/>
    <cellStyle name="Note 2 6 3 2 2" xfId="12032"/>
    <cellStyle name="Note 2 6 3 2 3" xfId="10719"/>
    <cellStyle name="Note 2 6 3 2_Note Calc" xfId="27706"/>
    <cellStyle name="Note 2 6 3 3" xfId="11344"/>
    <cellStyle name="Note 2 6 3 4" xfId="10031"/>
    <cellStyle name="Note 2 6 3_Forecast" xfId="24539"/>
    <cellStyle name="Note 2 6 4" xfId="8549"/>
    <cellStyle name="Note 2 6 4 2" xfId="9393"/>
    <cellStyle name="Note 2 6 4 2 2" xfId="12084"/>
    <cellStyle name="Note 2 6 4 2 3" xfId="10771"/>
    <cellStyle name="Note 2 6 4 2_Note Calc" xfId="27707"/>
    <cellStyle name="Note 2 6 4 3" xfId="11396"/>
    <cellStyle name="Note 2 6 4 4" xfId="10083"/>
    <cellStyle name="Note 2 6 4_Forecast" xfId="24540"/>
    <cellStyle name="Note 2 6_Forecast" xfId="24541"/>
    <cellStyle name="Note 2 7" xfId="3730"/>
    <cellStyle name="Note 2 7 2" xfId="8129"/>
    <cellStyle name="Note 2 7 2 2" xfId="9142"/>
    <cellStyle name="Note 2 7 2 2 2" xfId="11833"/>
    <cellStyle name="Note 2 7 2 2 3" xfId="10520"/>
    <cellStyle name="Note 2 7 2 2_Note Calc" xfId="27708"/>
    <cellStyle name="Note 2 7 2 3" xfId="11145"/>
    <cellStyle name="Note 2 7 2 4" xfId="9832"/>
    <cellStyle name="Note 2 7 2_Forecast" xfId="24542"/>
    <cellStyle name="Note 2 7 3" xfId="8447"/>
    <cellStyle name="Note 2 7 3 2" xfId="9342"/>
    <cellStyle name="Note 2 7 3 2 2" xfId="12033"/>
    <cellStyle name="Note 2 7 3 2 3" xfId="10720"/>
    <cellStyle name="Note 2 7 3 2_Note Calc" xfId="27709"/>
    <cellStyle name="Note 2 7 3 3" xfId="11345"/>
    <cellStyle name="Note 2 7 3 4" xfId="10032"/>
    <cellStyle name="Note 2 7 3_Forecast" xfId="24543"/>
    <cellStyle name="Note 2 7 4" xfId="8550"/>
    <cellStyle name="Note 2 7 4 2" xfId="9394"/>
    <cellStyle name="Note 2 7 4 2 2" xfId="12085"/>
    <cellStyle name="Note 2 7 4 2 3" xfId="10772"/>
    <cellStyle name="Note 2 7 4 2_Note Calc" xfId="27710"/>
    <cellStyle name="Note 2 7 4 3" xfId="11397"/>
    <cellStyle name="Note 2 7 4 4" xfId="10084"/>
    <cellStyle name="Note 2 7 4_Forecast" xfId="24544"/>
    <cellStyle name="Note 2 7_Forecast" xfId="24545"/>
    <cellStyle name="Note 2 8" xfId="3731"/>
    <cellStyle name="Note 2 9" xfId="3732"/>
    <cellStyle name="Note 2_Forecast" xfId="24546"/>
    <cellStyle name="Note 20" xfId="20327"/>
    <cellStyle name="Note 200" xfId="20328"/>
    <cellStyle name="Note 201" xfId="20329"/>
    <cellStyle name="Note 202" xfId="20330"/>
    <cellStyle name="Note 203" xfId="20331"/>
    <cellStyle name="Note 204" xfId="20332"/>
    <cellStyle name="Note 205" xfId="20333"/>
    <cellStyle name="Note 206" xfId="20334"/>
    <cellStyle name="Note 207" xfId="20335"/>
    <cellStyle name="Note 208" xfId="20336"/>
    <cellStyle name="Note 209" xfId="20337"/>
    <cellStyle name="Note 21" xfId="20338"/>
    <cellStyle name="Note 210" xfId="20339"/>
    <cellStyle name="Note 211" xfId="20340"/>
    <cellStyle name="Note 212" xfId="20341"/>
    <cellStyle name="Note 213" xfId="20342"/>
    <cellStyle name="Note 214" xfId="20343"/>
    <cellStyle name="Note 215" xfId="20344"/>
    <cellStyle name="Note 216" xfId="20345"/>
    <cellStyle name="Note 217" xfId="20346"/>
    <cellStyle name="Note 218" xfId="20347"/>
    <cellStyle name="Note 219" xfId="20348"/>
    <cellStyle name="Note 22" xfId="20349"/>
    <cellStyle name="Note 220" xfId="20350"/>
    <cellStyle name="Note 221" xfId="20351"/>
    <cellStyle name="Note 222" xfId="20352"/>
    <cellStyle name="Note 223" xfId="20353"/>
    <cellStyle name="Note 224" xfId="20354"/>
    <cellStyle name="Note 225" xfId="20355"/>
    <cellStyle name="Note 226" xfId="20356"/>
    <cellStyle name="Note 227" xfId="20357"/>
    <cellStyle name="Note 228" xfId="20358"/>
    <cellStyle name="Note 229" xfId="20359"/>
    <cellStyle name="Note 23" xfId="20360"/>
    <cellStyle name="Note 230" xfId="20361"/>
    <cellStyle name="Note 231" xfId="20362"/>
    <cellStyle name="Note 232" xfId="20363"/>
    <cellStyle name="Note 233" xfId="20364"/>
    <cellStyle name="Note 234" xfId="20365"/>
    <cellStyle name="Note 235" xfId="20366"/>
    <cellStyle name="Note 236" xfId="20367"/>
    <cellStyle name="Note 237" xfId="20368"/>
    <cellStyle name="Note 238" xfId="20369"/>
    <cellStyle name="Note 239" xfId="20370"/>
    <cellStyle name="Note 24" xfId="20371"/>
    <cellStyle name="Note 240" xfId="20372"/>
    <cellStyle name="Note 241" xfId="20373"/>
    <cellStyle name="Note 242" xfId="20374"/>
    <cellStyle name="Note 243" xfId="20375"/>
    <cellStyle name="Note 244" xfId="20376"/>
    <cellStyle name="Note 245" xfId="21654"/>
    <cellStyle name="Note 246" xfId="21655"/>
    <cellStyle name="Note 247" xfId="21656"/>
    <cellStyle name="Note 248" xfId="21657"/>
    <cellStyle name="Note 249" xfId="21658"/>
    <cellStyle name="Note 25" xfId="20377"/>
    <cellStyle name="Note 250" xfId="21659"/>
    <cellStyle name="Note 251" xfId="21660"/>
    <cellStyle name="Note 252" xfId="21661"/>
    <cellStyle name="Note 253" xfId="21662"/>
    <cellStyle name="Note 254" xfId="21663"/>
    <cellStyle name="Note 255" xfId="21664"/>
    <cellStyle name="Note 256" xfId="21665"/>
    <cellStyle name="Note 257" xfId="21666"/>
    <cellStyle name="Note 258" xfId="21849"/>
    <cellStyle name="Note 259" xfId="21850"/>
    <cellStyle name="Note 26" xfId="20378"/>
    <cellStyle name="Note 260" xfId="21851"/>
    <cellStyle name="Note 261" xfId="21852"/>
    <cellStyle name="Note 262" xfId="21719"/>
    <cellStyle name="Note 263" xfId="21962"/>
    <cellStyle name="Note 264" xfId="21906"/>
    <cellStyle name="Note 265" xfId="27711"/>
    <cellStyle name="Note 27" xfId="20379"/>
    <cellStyle name="Note 28" xfId="20380"/>
    <cellStyle name="Note 29" xfId="20381"/>
    <cellStyle name="Note 3" xfId="3733"/>
    <cellStyle name="Note 3 10" xfId="12173"/>
    <cellStyle name="Note 3 11" xfId="20382"/>
    <cellStyle name="Note 3 12" xfId="27712"/>
    <cellStyle name="Note 3 2" xfId="3734"/>
    <cellStyle name="Note 3 2 2" xfId="3735"/>
    <cellStyle name="Note 3 2 3" xfId="8131"/>
    <cellStyle name="Note 3 2 3 2" xfId="9144"/>
    <cellStyle name="Note 3 2 3 2 2" xfId="11835"/>
    <cellStyle name="Note 3 2 3 2 3" xfId="10522"/>
    <cellStyle name="Note 3 2 3 2_Note Calc" xfId="27713"/>
    <cellStyle name="Note 3 2 3 3" xfId="11147"/>
    <cellStyle name="Note 3 2 3 4" xfId="9834"/>
    <cellStyle name="Note 3 2 3_Forecast" xfId="24547"/>
    <cellStyle name="Note 3 2 4" xfId="8449"/>
    <cellStyle name="Note 3 2 4 2" xfId="9344"/>
    <cellStyle name="Note 3 2 4 2 2" xfId="12035"/>
    <cellStyle name="Note 3 2 4 2 3" xfId="10722"/>
    <cellStyle name="Note 3 2 4 2_Note Calc" xfId="27714"/>
    <cellStyle name="Note 3 2 4 3" xfId="11347"/>
    <cellStyle name="Note 3 2 4 4" xfId="10034"/>
    <cellStyle name="Note 3 2 4_Forecast" xfId="24548"/>
    <cellStyle name="Note 3 2 5" xfId="8552"/>
    <cellStyle name="Note 3 2 5 2" xfId="9396"/>
    <cellStyle name="Note 3 2 5 2 2" xfId="12087"/>
    <cellStyle name="Note 3 2 5 2 3" xfId="10774"/>
    <cellStyle name="Note 3 2 5 2_Note Calc" xfId="27715"/>
    <cellStyle name="Note 3 2 5 3" xfId="11399"/>
    <cellStyle name="Note 3 2 5 4" xfId="10086"/>
    <cellStyle name="Note 3 2 5_Forecast" xfId="24549"/>
    <cellStyle name="Note 3 2 6" xfId="24550"/>
    <cellStyle name="Note 3 2_Forecast" xfId="24551"/>
    <cellStyle name="Note 3 3" xfId="3736"/>
    <cellStyle name="Note 3 3 2" xfId="8132"/>
    <cellStyle name="Note 3 3 2 2" xfId="9145"/>
    <cellStyle name="Note 3 3 2 2 2" xfId="11836"/>
    <cellStyle name="Note 3 3 2 2 3" xfId="10523"/>
    <cellStyle name="Note 3 3 2 2_Note Calc" xfId="27716"/>
    <cellStyle name="Note 3 3 2 3" xfId="11148"/>
    <cellStyle name="Note 3 3 2 4" xfId="9835"/>
    <cellStyle name="Note 3 3 2_Forecast" xfId="24552"/>
    <cellStyle name="Note 3 3 3" xfId="8450"/>
    <cellStyle name="Note 3 3 3 2" xfId="9345"/>
    <cellStyle name="Note 3 3 3 2 2" xfId="12036"/>
    <cellStyle name="Note 3 3 3 2 3" xfId="10723"/>
    <cellStyle name="Note 3 3 3 2_Note Calc" xfId="27717"/>
    <cellStyle name="Note 3 3 3 3" xfId="11348"/>
    <cellStyle name="Note 3 3 3 4" xfId="10035"/>
    <cellStyle name="Note 3 3 3_Forecast" xfId="24553"/>
    <cellStyle name="Note 3 3 4" xfId="8553"/>
    <cellStyle name="Note 3 3 4 2" xfId="9397"/>
    <cellStyle name="Note 3 3 4 2 2" xfId="12088"/>
    <cellStyle name="Note 3 3 4 2 3" xfId="10775"/>
    <cellStyle name="Note 3 3 4 2_Note Calc" xfId="27718"/>
    <cellStyle name="Note 3 3 4 3" xfId="11400"/>
    <cellStyle name="Note 3 3 4 4" xfId="10087"/>
    <cellStyle name="Note 3 3 4_Forecast" xfId="24554"/>
    <cellStyle name="Note 3 3_Forecast" xfId="24555"/>
    <cellStyle name="Note 3 4" xfId="3737"/>
    <cellStyle name="Note 3 4 2" xfId="8133"/>
    <cellStyle name="Note 3 4 2 2" xfId="9146"/>
    <cellStyle name="Note 3 4 2 2 2" xfId="11837"/>
    <cellStyle name="Note 3 4 2 2 3" xfId="10524"/>
    <cellStyle name="Note 3 4 2 2_Note Calc" xfId="27719"/>
    <cellStyle name="Note 3 4 2 3" xfId="11149"/>
    <cellStyle name="Note 3 4 2 4" xfId="9836"/>
    <cellStyle name="Note 3 4 2_Forecast" xfId="24556"/>
    <cellStyle name="Note 3 4 3" xfId="8451"/>
    <cellStyle name="Note 3 4 3 2" xfId="9346"/>
    <cellStyle name="Note 3 4 3 2 2" xfId="12037"/>
    <cellStyle name="Note 3 4 3 2 3" xfId="10724"/>
    <cellStyle name="Note 3 4 3 2_Note Calc" xfId="27720"/>
    <cellStyle name="Note 3 4 3 3" xfId="11349"/>
    <cellStyle name="Note 3 4 3 4" xfId="10036"/>
    <cellStyle name="Note 3 4 3_Forecast" xfId="24557"/>
    <cellStyle name="Note 3 4 4" xfId="8554"/>
    <cellStyle name="Note 3 4 4 2" xfId="9398"/>
    <cellStyle name="Note 3 4 4 2 2" xfId="12089"/>
    <cellStyle name="Note 3 4 4 2 3" xfId="10776"/>
    <cellStyle name="Note 3 4 4 2_Note Calc" xfId="27721"/>
    <cellStyle name="Note 3 4 4 3" xfId="11401"/>
    <cellStyle name="Note 3 4 4 4" xfId="10088"/>
    <cellStyle name="Note 3 4 4_Forecast" xfId="24558"/>
    <cellStyle name="Note 3 4_Forecast" xfId="24559"/>
    <cellStyle name="Note 3 5" xfId="3738"/>
    <cellStyle name="Note 3 5 2" xfId="8134"/>
    <cellStyle name="Note 3 5 2 2" xfId="9147"/>
    <cellStyle name="Note 3 5 2 2 2" xfId="11838"/>
    <cellStyle name="Note 3 5 2 2 3" xfId="10525"/>
    <cellStyle name="Note 3 5 2 2_Note Calc" xfId="27722"/>
    <cellStyle name="Note 3 5 2 3" xfId="11150"/>
    <cellStyle name="Note 3 5 2 4" xfId="9837"/>
    <cellStyle name="Note 3 5 2_Forecast" xfId="24560"/>
    <cellStyle name="Note 3 5 3" xfId="8452"/>
    <cellStyle name="Note 3 5 3 2" xfId="9347"/>
    <cellStyle name="Note 3 5 3 2 2" xfId="12038"/>
    <cellStyle name="Note 3 5 3 2 3" xfId="10725"/>
    <cellStyle name="Note 3 5 3 2_Note Calc" xfId="27723"/>
    <cellStyle name="Note 3 5 3 3" xfId="11350"/>
    <cellStyle name="Note 3 5 3 4" xfId="10037"/>
    <cellStyle name="Note 3 5 3_Forecast" xfId="24561"/>
    <cellStyle name="Note 3 5 4" xfId="8555"/>
    <cellStyle name="Note 3 5 4 2" xfId="9399"/>
    <cellStyle name="Note 3 5 4 2 2" xfId="12090"/>
    <cellStyle name="Note 3 5 4 2 3" xfId="10777"/>
    <cellStyle name="Note 3 5 4 2_Note Calc" xfId="27724"/>
    <cellStyle name="Note 3 5 4 3" xfId="11402"/>
    <cellStyle name="Note 3 5 4 4" xfId="10089"/>
    <cellStyle name="Note 3 5 4_Forecast" xfId="24562"/>
    <cellStyle name="Note 3 5_Forecast" xfId="24563"/>
    <cellStyle name="Note 3 6" xfId="3739"/>
    <cellStyle name="Note 3 6 2" xfId="8135"/>
    <cellStyle name="Note 3 6 2 2" xfId="9148"/>
    <cellStyle name="Note 3 6 2 2 2" xfId="11839"/>
    <cellStyle name="Note 3 6 2 2 3" xfId="10526"/>
    <cellStyle name="Note 3 6 2 2_Note Calc" xfId="27725"/>
    <cellStyle name="Note 3 6 2 3" xfId="11151"/>
    <cellStyle name="Note 3 6 2 4" xfId="9838"/>
    <cellStyle name="Note 3 6 2_Forecast" xfId="24564"/>
    <cellStyle name="Note 3 6 3" xfId="8453"/>
    <cellStyle name="Note 3 6 3 2" xfId="9348"/>
    <cellStyle name="Note 3 6 3 2 2" xfId="12039"/>
    <cellStyle name="Note 3 6 3 2 3" xfId="10726"/>
    <cellStyle name="Note 3 6 3 2_Note Calc" xfId="27726"/>
    <cellStyle name="Note 3 6 3 3" xfId="11351"/>
    <cellStyle name="Note 3 6 3 4" xfId="10038"/>
    <cellStyle name="Note 3 6 3_Forecast" xfId="24565"/>
    <cellStyle name="Note 3 6 4" xfId="8556"/>
    <cellStyle name="Note 3 6 4 2" xfId="9400"/>
    <cellStyle name="Note 3 6 4 2 2" xfId="12091"/>
    <cellStyle name="Note 3 6 4 2 3" xfId="10778"/>
    <cellStyle name="Note 3 6 4 2_Note Calc" xfId="27727"/>
    <cellStyle name="Note 3 6 4 3" xfId="11403"/>
    <cellStyle name="Note 3 6 4 4" xfId="10090"/>
    <cellStyle name="Note 3 6 4_Forecast" xfId="24566"/>
    <cellStyle name="Note 3 6_Forecast" xfId="24567"/>
    <cellStyle name="Note 3 7" xfId="8130"/>
    <cellStyle name="Note 3 7 2" xfId="9143"/>
    <cellStyle name="Note 3 7 2 2" xfId="11834"/>
    <cellStyle name="Note 3 7 2 3" xfId="10521"/>
    <cellStyle name="Note 3 7 2_Note Calc" xfId="27728"/>
    <cellStyle name="Note 3 7 3" xfId="11146"/>
    <cellStyle name="Note 3 7 4" xfId="9833"/>
    <cellStyle name="Note 3 7_Forecast" xfId="24568"/>
    <cellStyle name="Note 3 8" xfId="8448"/>
    <cellStyle name="Note 3 8 2" xfId="9343"/>
    <cellStyle name="Note 3 8 2 2" xfId="12034"/>
    <cellStyle name="Note 3 8 2 3" xfId="10721"/>
    <cellStyle name="Note 3 8 2_Note Calc" xfId="27729"/>
    <cellStyle name="Note 3 8 3" xfId="11346"/>
    <cellStyle name="Note 3 8 4" xfId="10033"/>
    <cellStyle name="Note 3 8_Forecast" xfId="24569"/>
    <cellStyle name="Note 3 9" xfId="8551"/>
    <cellStyle name="Note 3 9 2" xfId="9395"/>
    <cellStyle name="Note 3 9 2 2" xfId="12086"/>
    <cellStyle name="Note 3 9 2 3" xfId="10773"/>
    <cellStyle name="Note 3 9 2_Note Calc" xfId="27730"/>
    <cellStyle name="Note 3 9 3" xfId="11398"/>
    <cellStyle name="Note 3 9 4" xfId="10085"/>
    <cellStyle name="Note 3 9_Forecast" xfId="24570"/>
    <cellStyle name="Note 3_Forecast" xfId="24571"/>
    <cellStyle name="Note 30" xfId="20383"/>
    <cellStyle name="Note 31" xfId="20384"/>
    <cellStyle name="Note 32" xfId="20385"/>
    <cellStyle name="Note 33" xfId="20386"/>
    <cellStyle name="Note 34" xfId="20387"/>
    <cellStyle name="Note 35" xfId="20388"/>
    <cellStyle name="Note 36" xfId="20389"/>
    <cellStyle name="Note 37" xfId="20390"/>
    <cellStyle name="Note 38" xfId="20391"/>
    <cellStyle name="Note 39" xfId="20392"/>
    <cellStyle name="Note 4" xfId="7408"/>
    <cellStyle name="Note 4 2" xfId="8137"/>
    <cellStyle name="Note 4 2 2" xfId="9150"/>
    <cellStyle name="Note 4 2 2 2" xfId="11841"/>
    <cellStyle name="Note 4 2 2 3" xfId="10528"/>
    <cellStyle name="Note 4 2 2_Note Calc" xfId="27731"/>
    <cellStyle name="Note 4 2 3" xfId="11153"/>
    <cellStyle name="Note 4 2 4" xfId="9840"/>
    <cellStyle name="Note 4 2_Forecast" xfId="24572"/>
    <cellStyle name="Note 4 3" xfId="8454"/>
    <cellStyle name="Note 4 3 2" xfId="9349"/>
    <cellStyle name="Note 4 3 2 2" xfId="12040"/>
    <cellStyle name="Note 4 3 2 3" xfId="10727"/>
    <cellStyle name="Note 4 3 2_Note Calc" xfId="27732"/>
    <cellStyle name="Note 4 3 3" xfId="11352"/>
    <cellStyle name="Note 4 3 4" xfId="10039"/>
    <cellStyle name="Note 4 3_Forecast" xfId="24573"/>
    <cellStyle name="Note 4 4" xfId="8557"/>
    <cellStyle name="Note 4 4 2" xfId="9401"/>
    <cellStyle name="Note 4 4 2 2" xfId="12092"/>
    <cellStyle name="Note 4 4 2 3" xfId="10779"/>
    <cellStyle name="Note 4 4 2_Note Calc" xfId="27733"/>
    <cellStyle name="Note 4 4 3" xfId="11404"/>
    <cellStyle name="Note 4 4 4" xfId="10091"/>
    <cellStyle name="Note 4 4_Forecast" xfId="24574"/>
    <cellStyle name="Note 4 5" xfId="8851"/>
    <cellStyle name="Note 4 5 2" xfId="11542"/>
    <cellStyle name="Note 4 5 3" xfId="10229"/>
    <cellStyle name="Note 4 5_Note Calc" xfId="27734"/>
    <cellStyle name="Note 4 6" xfId="10854"/>
    <cellStyle name="Note 4 7" xfId="9541"/>
    <cellStyle name="Note 4 7 2" xfId="24575"/>
    <cellStyle name="Note 4 7_Forecast" xfId="24576"/>
    <cellStyle name="Note 4 8" xfId="20393"/>
    <cellStyle name="Note 4 9" xfId="24577"/>
    <cellStyle name="Note 4_Forecast" xfId="24578"/>
    <cellStyle name="Note 40" xfId="20394"/>
    <cellStyle name="Note 41" xfId="20395"/>
    <cellStyle name="Note 42" xfId="20396"/>
    <cellStyle name="Note 43" xfId="20397"/>
    <cellStyle name="Note 44" xfId="20398"/>
    <cellStyle name="Note 45" xfId="20399"/>
    <cellStyle name="Note 46" xfId="20400"/>
    <cellStyle name="Note 47" xfId="20401"/>
    <cellStyle name="Note 48" xfId="20402"/>
    <cellStyle name="Note 49" xfId="20403"/>
    <cellStyle name="Note 5" xfId="8138"/>
    <cellStyle name="Note 5 2" xfId="9151"/>
    <cellStyle name="Note 5 2 2" xfId="11842"/>
    <cellStyle name="Note 5 2 3" xfId="10529"/>
    <cellStyle name="Note 5 2_Note Calc" xfId="27735"/>
    <cellStyle name="Note 5 3" xfId="11154"/>
    <cellStyle name="Note 5 4" xfId="9841"/>
    <cellStyle name="Note 5 5" xfId="20404"/>
    <cellStyle name="Note 5_Forecast" xfId="24579"/>
    <cellStyle name="Note 50" xfId="20405"/>
    <cellStyle name="Note 51" xfId="20406"/>
    <cellStyle name="Note 52" xfId="20407"/>
    <cellStyle name="Note 53" xfId="20408"/>
    <cellStyle name="Note 54" xfId="20409"/>
    <cellStyle name="Note 55" xfId="20410"/>
    <cellStyle name="Note 56" xfId="20411"/>
    <cellStyle name="Note 57" xfId="20412"/>
    <cellStyle name="Note 58" xfId="20413"/>
    <cellStyle name="Note 59" xfId="20414"/>
    <cellStyle name="Note 6" xfId="8139"/>
    <cellStyle name="Note 6 2" xfId="9152"/>
    <cellStyle name="Note 6 2 2" xfId="11843"/>
    <cellStyle name="Note 6 2 3" xfId="10530"/>
    <cellStyle name="Note 6 2_Note Calc" xfId="27736"/>
    <cellStyle name="Note 6 3" xfId="11155"/>
    <cellStyle name="Note 6 4" xfId="9842"/>
    <cellStyle name="Note 6 5" xfId="20415"/>
    <cellStyle name="Note 6_Forecast" xfId="24580"/>
    <cellStyle name="Note 60" xfId="20416"/>
    <cellStyle name="Note 61" xfId="20417"/>
    <cellStyle name="Note 62" xfId="20418"/>
    <cellStyle name="Note 63" xfId="20419"/>
    <cellStyle name="Note 64" xfId="20420"/>
    <cellStyle name="Note 65" xfId="20421"/>
    <cellStyle name="Note 66" xfId="20422"/>
    <cellStyle name="Note 67" xfId="20423"/>
    <cellStyle name="Note 68" xfId="20424"/>
    <cellStyle name="Note 69" xfId="20425"/>
    <cellStyle name="Note 7" xfId="8140"/>
    <cellStyle name="Note 7 2" xfId="9153"/>
    <cellStyle name="Note 7 2 2" xfId="11844"/>
    <cellStyle name="Note 7 2 3" xfId="10531"/>
    <cellStyle name="Note 7 2_Note Calc" xfId="27737"/>
    <cellStyle name="Note 7 3" xfId="11156"/>
    <cellStyle name="Note 7 4" xfId="9843"/>
    <cellStyle name="Note 7 5" xfId="20426"/>
    <cellStyle name="Note 7_Forecast" xfId="24581"/>
    <cellStyle name="Note 70" xfId="20427"/>
    <cellStyle name="Note 71" xfId="20428"/>
    <cellStyle name="Note 72" xfId="20429"/>
    <cellStyle name="Note 73" xfId="20430"/>
    <cellStyle name="Note 74" xfId="20431"/>
    <cellStyle name="Note 75" xfId="20432"/>
    <cellStyle name="Note 76" xfId="20433"/>
    <cellStyle name="Note 77" xfId="20434"/>
    <cellStyle name="Note 78" xfId="20435"/>
    <cellStyle name="Note 79" xfId="20436"/>
    <cellStyle name="Note 8" xfId="8141"/>
    <cellStyle name="Note 8 2" xfId="9154"/>
    <cellStyle name="Note 8 2 2" xfId="11845"/>
    <cellStyle name="Note 8 2 3" xfId="10532"/>
    <cellStyle name="Note 8 2_Note Calc" xfId="27738"/>
    <cellStyle name="Note 8 3" xfId="11157"/>
    <cellStyle name="Note 8 4" xfId="9844"/>
    <cellStyle name="Note 8 5" xfId="20437"/>
    <cellStyle name="Note 8_Forecast" xfId="24582"/>
    <cellStyle name="Note 80" xfId="20438"/>
    <cellStyle name="Note 81" xfId="20439"/>
    <cellStyle name="Note 82" xfId="20440"/>
    <cellStyle name="Note 83" xfId="20441"/>
    <cellStyle name="Note 84" xfId="20442"/>
    <cellStyle name="Note 85" xfId="20443"/>
    <cellStyle name="Note 86" xfId="20444"/>
    <cellStyle name="Note 87" xfId="20445"/>
    <cellStyle name="Note 88" xfId="20446"/>
    <cellStyle name="Note 89" xfId="20447"/>
    <cellStyle name="Note 9" xfId="8142"/>
    <cellStyle name="Note 9 2" xfId="9155"/>
    <cellStyle name="Note 9 2 2" xfId="11846"/>
    <cellStyle name="Note 9 2 3" xfId="10533"/>
    <cellStyle name="Note 9 2_Note Calc" xfId="27739"/>
    <cellStyle name="Note 9 3" xfId="11158"/>
    <cellStyle name="Note 9 4" xfId="9845"/>
    <cellStyle name="Note 9 5" xfId="20448"/>
    <cellStyle name="Note 9_Forecast" xfId="24583"/>
    <cellStyle name="Note 90" xfId="20449"/>
    <cellStyle name="Note 91" xfId="20450"/>
    <cellStyle name="Note 92" xfId="20451"/>
    <cellStyle name="Note 93" xfId="20452"/>
    <cellStyle name="Note 94" xfId="20453"/>
    <cellStyle name="Note 95" xfId="20454"/>
    <cellStyle name="Note 96" xfId="20455"/>
    <cellStyle name="Note 97" xfId="20456"/>
    <cellStyle name="Note 98" xfId="20457"/>
    <cellStyle name="Note 99" xfId="20458"/>
    <cellStyle name="Output" xfId="3740" builtinId="21" customBuiltin="1"/>
    <cellStyle name="Output 10" xfId="12226"/>
    <cellStyle name="Output 100" xfId="20459"/>
    <cellStyle name="Output 101" xfId="20460"/>
    <cellStyle name="Output 102" xfId="20461"/>
    <cellStyle name="Output 103" xfId="20462"/>
    <cellStyle name="Output 104" xfId="20463"/>
    <cellStyle name="Output 105" xfId="20464"/>
    <cellStyle name="Output 106" xfId="20465"/>
    <cellStyle name="Output 107" xfId="20466"/>
    <cellStyle name="Output 108" xfId="20467"/>
    <cellStyle name="Output 109" xfId="20468"/>
    <cellStyle name="Output 11" xfId="20469"/>
    <cellStyle name="Output 110" xfId="20470"/>
    <cellStyle name="Output 111" xfId="20471"/>
    <cellStyle name="Output 112" xfId="20472"/>
    <cellStyle name="Output 113" xfId="20473"/>
    <cellStyle name="Output 114" xfId="20474"/>
    <cellStyle name="Output 115" xfId="20475"/>
    <cellStyle name="Output 116" xfId="20476"/>
    <cellStyle name="Output 117" xfId="20477"/>
    <cellStyle name="Output 118" xfId="20478"/>
    <cellStyle name="Output 119" xfId="20479"/>
    <cellStyle name="Output 12" xfId="20480"/>
    <cellStyle name="Output 120" xfId="20481"/>
    <cellStyle name="Output 121" xfId="20482"/>
    <cellStyle name="Output 122" xfId="20483"/>
    <cellStyle name="Output 123" xfId="20484"/>
    <cellStyle name="Output 124" xfId="20485"/>
    <cellStyle name="Output 125" xfId="20486"/>
    <cellStyle name="Output 126" xfId="20487"/>
    <cellStyle name="Output 127" xfId="20488"/>
    <cellStyle name="Output 128" xfId="20489"/>
    <cellStyle name="Output 129" xfId="20490"/>
    <cellStyle name="Output 13" xfId="20491"/>
    <cellStyle name="Output 130" xfId="20492"/>
    <cellStyle name="Output 131" xfId="20493"/>
    <cellStyle name="Output 132" xfId="20494"/>
    <cellStyle name="Output 133" xfId="20495"/>
    <cellStyle name="Output 134" xfId="20496"/>
    <cellStyle name="Output 135" xfId="20497"/>
    <cellStyle name="Output 136" xfId="20498"/>
    <cellStyle name="Output 137" xfId="20499"/>
    <cellStyle name="Output 138" xfId="20500"/>
    <cellStyle name="Output 139" xfId="20501"/>
    <cellStyle name="Output 14" xfId="20502"/>
    <cellStyle name="Output 140" xfId="20503"/>
    <cellStyle name="Output 141" xfId="20504"/>
    <cellStyle name="Output 142" xfId="20505"/>
    <cellStyle name="Output 143" xfId="20506"/>
    <cellStyle name="Output 144" xfId="20507"/>
    <cellStyle name="Output 145" xfId="20508"/>
    <cellStyle name="Output 146" xfId="20509"/>
    <cellStyle name="Output 147" xfId="20510"/>
    <cellStyle name="Output 148" xfId="20511"/>
    <cellStyle name="Output 149" xfId="20512"/>
    <cellStyle name="Output 15" xfId="20513"/>
    <cellStyle name="Output 150" xfId="20514"/>
    <cellStyle name="Output 151" xfId="20515"/>
    <cellStyle name="Output 152" xfId="20516"/>
    <cellStyle name="Output 153" xfId="20517"/>
    <cellStyle name="Output 154" xfId="20518"/>
    <cellStyle name="Output 155" xfId="20519"/>
    <cellStyle name="Output 156" xfId="20520"/>
    <cellStyle name="Output 157" xfId="20521"/>
    <cellStyle name="Output 158" xfId="20522"/>
    <cellStyle name="Output 159" xfId="20523"/>
    <cellStyle name="Output 16" xfId="20524"/>
    <cellStyle name="Output 160" xfId="20525"/>
    <cellStyle name="Output 161" xfId="20526"/>
    <cellStyle name="Output 162" xfId="20527"/>
    <cellStyle name="Output 163" xfId="20528"/>
    <cellStyle name="Output 163 2" xfId="21667"/>
    <cellStyle name="Output 163 3" xfId="21668"/>
    <cellStyle name="Output 163_Note Calc" xfId="27740"/>
    <cellStyle name="Output 164" xfId="20529"/>
    <cellStyle name="Output 165" xfId="20530"/>
    <cellStyle name="Output 166" xfId="20531"/>
    <cellStyle name="Output 167" xfId="20532"/>
    <cellStyle name="Output 168" xfId="20533"/>
    <cellStyle name="Output 169" xfId="20534"/>
    <cellStyle name="Output 17" xfId="20535"/>
    <cellStyle name="Output 170" xfId="20536"/>
    <cellStyle name="Output 171" xfId="20537"/>
    <cellStyle name="Output 172" xfId="20538"/>
    <cellStyle name="Output 173" xfId="20539"/>
    <cellStyle name="Output 174" xfId="20540"/>
    <cellStyle name="Output 175" xfId="20541"/>
    <cellStyle name="Output 176" xfId="20542"/>
    <cellStyle name="Output 177" xfId="20543"/>
    <cellStyle name="Output 178" xfId="20544"/>
    <cellStyle name="Output 179" xfId="20545"/>
    <cellStyle name="Output 18" xfId="20546"/>
    <cellStyle name="Output 180" xfId="20547"/>
    <cellStyle name="Output 181" xfId="20548"/>
    <cellStyle name="Output 182" xfId="20549"/>
    <cellStyle name="Output 183" xfId="20550"/>
    <cellStyle name="Output 184" xfId="20551"/>
    <cellStyle name="Output 185" xfId="20552"/>
    <cellStyle name="Output 186" xfId="20553"/>
    <cellStyle name="Output 187" xfId="20554"/>
    <cellStyle name="Output 188" xfId="20555"/>
    <cellStyle name="Output 189" xfId="20556"/>
    <cellStyle name="Output 19" xfId="20557"/>
    <cellStyle name="Output 190" xfId="20558"/>
    <cellStyle name="Output 191" xfId="20559"/>
    <cellStyle name="Output 192" xfId="20560"/>
    <cellStyle name="Output 193" xfId="20561"/>
    <cellStyle name="Output 194" xfId="20562"/>
    <cellStyle name="Output 195" xfId="20563"/>
    <cellStyle name="Output 196" xfId="20564"/>
    <cellStyle name="Output 197" xfId="20565"/>
    <cellStyle name="Output 198" xfId="20566"/>
    <cellStyle name="Output 199" xfId="20567"/>
    <cellStyle name="Output 2" xfId="3741"/>
    <cellStyle name="Output 2 10" xfId="12174"/>
    <cellStyle name="Output 2 11" xfId="20568"/>
    <cellStyle name="Output 2 12" xfId="27741"/>
    <cellStyle name="Output 2 2" xfId="8143"/>
    <cellStyle name="Output 2 2 2" xfId="21669"/>
    <cellStyle name="Output 2 2_Note Calc" xfId="27742"/>
    <cellStyle name="Output 2 3" xfId="8144"/>
    <cellStyle name="Output 2 3 2" xfId="21670"/>
    <cellStyle name="Output 2 3_Note Calc" xfId="27743"/>
    <cellStyle name="Output 2 4" xfId="8145"/>
    <cellStyle name="Output 2 4 2" xfId="21671"/>
    <cellStyle name="Output 2 4_Note Calc" xfId="27744"/>
    <cellStyle name="Output 2 5" xfId="8146"/>
    <cellStyle name="Output 2 6" xfId="8147"/>
    <cellStyle name="Output 2 7" xfId="8148"/>
    <cellStyle name="Output 2 8" xfId="8455"/>
    <cellStyle name="Output 2 9" xfId="8558"/>
    <cellStyle name="Output 2_Forecast" xfId="24584"/>
    <cellStyle name="Output 20" xfId="20569"/>
    <cellStyle name="Output 200" xfId="20570"/>
    <cellStyle name="Output 201" xfId="21853"/>
    <cellStyle name="Output 202" xfId="21714"/>
    <cellStyle name="Output 203" xfId="21957"/>
    <cellStyle name="Output 204" xfId="21911"/>
    <cellStyle name="Output 205" xfId="27745"/>
    <cellStyle name="Output 21" xfId="20571"/>
    <cellStyle name="Output 22" xfId="20572"/>
    <cellStyle name="Output 23" xfId="20573"/>
    <cellStyle name="Output 24" xfId="20574"/>
    <cellStyle name="Output 25" xfId="20575"/>
    <cellStyle name="Output 26" xfId="20576"/>
    <cellStyle name="Output 27" xfId="20577"/>
    <cellStyle name="Output 28" xfId="20578"/>
    <cellStyle name="Output 29" xfId="20579"/>
    <cellStyle name="Output 3" xfId="8149"/>
    <cellStyle name="Output 3 2" xfId="8150"/>
    <cellStyle name="Output 3 3" xfId="8151"/>
    <cellStyle name="Output 3 4" xfId="8152"/>
    <cellStyle name="Output 3 5" xfId="8153"/>
    <cellStyle name="Output 3 6" xfId="8154"/>
    <cellStyle name="Output 3 7" xfId="8155"/>
    <cellStyle name="Output 3 8" xfId="20580"/>
    <cellStyle name="Output 3 9" xfId="27746"/>
    <cellStyle name="Output 3_Forecast" xfId="24585"/>
    <cellStyle name="Output 30" xfId="20581"/>
    <cellStyle name="Output 31" xfId="20582"/>
    <cellStyle name="Output 32" xfId="20583"/>
    <cellStyle name="Output 33" xfId="20584"/>
    <cellStyle name="Output 34" xfId="20585"/>
    <cellStyle name="Output 35" xfId="20586"/>
    <cellStyle name="Output 36" xfId="20587"/>
    <cellStyle name="Output 37" xfId="20588"/>
    <cellStyle name="Output 38" xfId="20589"/>
    <cellStyle name="Output 39" xfId="20590"/>
    <cellStyle name="Output 4" xfId="8156"/>
    <cellStyle name="Output 4 2" xfId="20591"/>
    <cellStyle name="Output 4_Note Calc" xfId="27747"/>
    <cellStyle name="Output 40" xfId="20592"/>
    <cellStyle name="Output 41" xfId="20593"/>
    <cellStyle name="Output 42" xfId="20594"/>
    <cellStyle name="Output 43" xfId="20595"/>
    <cellStyle name="Output 44" xfId="20596"/>
    <cellStyle name="Output 45" xfId="20597"/>
    <cellStyle name="Output 46" xfId="20598"/>
    <cellStyle name="Output 47" xfId="20599"/>
    <cellStyle name="Output 48" xfId="20600"/>
    <cellStyle name="Output 49" xfId="20601"/>
    <cellStyle name="Output 5" xfId="8157"/>
    <cellStyle name="Output 5 2" xfId="20602"/>
    <cellStyle name="Output 5_Note Calc" xfId="27748"/>
    <cellStyle name="Output 50" xfId="20603"/>
    <cellStyle name="Output 51" xfId="20604"/>
    <cellStyle name="Output 52" xfId="20605"/>
    <cellStyle name="Output 53" xfId="20606"/>
    <cellStyle name="Output 54" xfId="20607"/>
    <cellStyle name="Output 55" xfId="20608"/>
    <cellStyle name="Output 56" xfId="20609"/>
    <cellStyle name="Output 57" xfId="20610"/>
    <cellStyle name="Output 58" xfId="20611"/>
    <cellStyle name="Output 59" xfId="20612"/>
    <cellStyle name="Output 6" xfId="8158"/>
    <cellStyle name="Output 6 2" xfId="20613"/>
    <cellStyle name="Output 6_Note Calc" xfId="27749"/>
    <cellStyle name="Output 60" xfId="20614"/>
    <cellStyle name="Output 61" xfId="20615"/>
    <cellStyle name="Output 62" xfId="20616"/>
    <cellStyle name="Output 63" xfId="20617"/>
    <cellStyle name="Output 64" xfId="20618"/>
    <cellStyle name="Output 65" xfId="20619"/>
    <cellStyle name="Output 66" xfId="20620"/>
    <cellStyle name="Output 67" xfId="20621"/>
    <cellStyle name="Output 68" xfId="20622"/>
    <cellStyle name="Output 69" xfId="20623"/>
    <cellStyle name="Output 7" xfId="8159"/>
    <cellStyle name="Output 7 2" xfId="20624"/>
    <cellStyle name="Output 7_Note Calc" xfId="27750"/>
    <cellStyle name="Output 70" xfId="20625"/>
    <cellStyle name="Output 71" xfId="20626"/>
    <cellStyle name="Output 72" xfId="20627"/>
    <cellStyle name="Output 73" xfId="20628"/>
    <cellStyle name="Output 74" xfId="20629"/>
    <cellStyle name="Output 75" xfId="20630"/>
    <cellStyle name="Output 76" xfId="20631"/>
    <cellStyle name="Output 77" xfId="20632"/>
    <cellStyle name="Output 78" xfId="20633"/>
    <cellStyle name="Output 79" xfId="20634"/>
    <cellStyle name="Output 8" xfId="8160"/>
    <cellStyle name="Output 8 2" xfId="20635"/>
    <cellStyle name="Output 8_Note Calc" xfId="27751"/>
    <cellStyle name="Output 80" xfId="20636"/>
    <cellStyle name="Output 81" xfId="20637"/>
    <cellStyle name="Output 82" xfId="20638"/>
    <cellStyle name="Output 83" xfId="20639"/>
    <cellStyle name="Output 84" xfId="20640"/>
    <cellStyle name="Output 85" xfId="20641"/>
    <cellStyle name="Output 86" xfId="20642"/>
    <cellStyle name="Output 87" xfId="20643"/>
    <cellStyle name="Output 88" xfId="20644"/>
    <cellStyle name="Output 89" xfId="20645"/>
    <cellStyle name="Output 9" xfId="8161"/>
    <cellStyle name="Output 9 2" xfId="20646"/>
    <cellStyle name="Output 9_Note Calc" xfId="27752"/>
    <cellStyle name="Output 90" xfId="20647"/>
    <cellStyle name="Output 91" xfId="20648"/>
    <cellStyle name="Output 92" xfId="20649"/>
    <cellStyle name="Output 93" xfId="20650"/>
    <cellStyle name="Output 94" xfId="20651"/>
    <cellStyle name="Output 95" xfId="20652"/>
    <cellStyle name="Output 96" xfId="20653"/>
    <cellStyle name="Output 97" xfId="20654"/>
    <cellStyle name="Output 98" xfId="20655"/>
    <cellStyle name="Output 99" xfId="20656"/>
    <cellStyle name="Percent" xfId="21992" builtinId="5"/>
    <cellStyle name="Percent 10" xfId="3742"/>
    <cellStyle name="Percent 10 10" xfId="3743"/>
    <cellStyle name="Percent 10 11" xfId="3744"/>
    <cellStyle name="Percent 10 12" xfId="3745"/>
    <cellStyle name="Percent 10 13" xfId="3746"/>
    <cellStyle name="Percent 10 14" xfId="3747"/>
    <cellStyle name="Percent 10 15" xfId="3748"/>
    <cellStyle name="Percent 10 16" xfId="3749"/>
    <cellStyle name="Percent 10 17" xfId="3750"/>
    <cellStyle name="Percent 10 18" xfId="3751"/>
    <cellStyle name="Percent 10 19" xfId="3752"/>
    <cellStyle name="Percent 10 2" xfId="3753"/>
    <cellStyle name="Percent 10 2 10" xfId="3754"/>
    <cellStyle name="Percent 10 2 11" xfId="3755"/>
    <cellStyle name="Percent 10 2 12" xfId="3756"/>
    <cellStyle name="Percent 10 2 13" xfId="3757"/>
    <cellStyle name="Percent 10 2 14" xfId="3758"/>
    <cellStyle name="Percent 10 2 15" xfId="3759"/>
    <cellStyle name="Percent 10 2 16" xfId="3760"/>
    <cellStyle name="Percent 10 2 17" xfId="3761"/>
    <cellStyle name="Percent 10 2 18" xfId="3762"/>
    <cellStyle name="Percent 10 2 19" xfId="3763"/>
    <cellStyle name="Percent 10 2 2" xfId="3764"/>
    <cellStyle name="Percent 10 2 20" xfId="3765"/>
    <cellStyle name="Percent 10 2 21" xfId="3766"/>
    <cellStyle name="Percent 10 2 22" xfId="3767"/>
    <cellStyle name="Percent 10 2 23" xfId="3768"/>
    <cellStyle name="Percent 10 2 24" xfId="3769"/>
    <cellStyle name="Percent 10 2 25" xfId="3770"/>
    <cellStyle name="Percent 10 2 26" xfId="3771"/>
    <cellStyle name="Percent 10 2 27" xfId="3772"/>
    <cellStyle name="Percent 10 2 28" xfId="3773"/>
    <cellStyle name="Percent 10 2 29" xfId="3774"/>
    <cellStyle name="Percent 10 2 3" xfId="3775"/>
    <cellStyle name="Percent 10 2 30" xfId="3776"/>
    <cellStyle name="Percent 10 2 4" xfId="3777"/>
    <cellStyle name="Percent 10 2 5" xfId="3778"/>
    <cellStyle name="Percent 10 2 6" xfId="3779"/>
    <cellStyle name="Percent 10 2 7" xfId="3780"/>
    <cellStyle name="Percent 10 2 8" xfId="3781"/>
    <cellStyle name="Percent 10 2 9" xfId="3782"/>
    <cellStyle name="Percent 10 2_Forecast" xfId="24586"/>
    <cellStyle name="Percent 10 20" xfId="3783"/>
    <cellStyle name="Percent 10 21" xfId="3784"/>
    <cellStyle name="Percent 10 22" xfId="3785"/>
    <cellStyle name="Percent 10 23" xfId="3786"/>
    <cellStyle name="Percent 10 24" xfId="3787"/>
    <cellStyle name="Percent 10 25" xfId="3788"/>
    <cellStyle name="Percent 10 26" xfId="3789"/>
    <cellStyle name="Percent 10 27" xfId="3790"/>
    <cellStyle name="Percent 10 28" xfId="3791"/>
    <cellStyle name="Percent 10 29" xfId="3792"/>
    <cellStyle name="Percent 10 3" xfId="3793"/>
    <cellStyle name="Percent 10 3 10" xfId="3794"/>
    <cellStyle name="Percent 10 3 11" xfId="3795"/>
    <cellStyle name="Percent 10 3 12" xfId="3796"/>
    <cellStyle name="Percent 10 3 13" xfId="3797"/>
    <cellStyle name="Percent 10 3 14" xfId="3798"/>
    <cellStyle name="Percent 10 3 15" xfId="3799"/>
    <cellStyle name="Percent 10 3 16" xfId="3800"/>
    <cellStyle name="Percent 10 3 17" xfId="3801"/>
    <cellStyle name="Percent 10 3 18" xfId="3802"/>
    <cellStyle name="Percent 10 3 19" xfId="3803"/>
    <cellStyle name="Percent 10 3 2" xfId="3804"/>
    <cellStyle name="Percent 10 3 20" xfId="3805"/>
    <cellStyle name="Percent 10 3 21" xfId="3806"/>
    <cellStyle name="Percent 10 3 22" xfId="3807"/>
    <cellStyle name="Percent 10 3 23" xfId="3808"/>
    <cellStyle name="Percent 10 3 24" xfId="3809"/>
    <cellStyle name="Percent 10 3 25" xfId="3810"/>
    <cellStyle name="Percent 10 3 26" xfId="3811"/>
    <cellStyle name="Percent 10 3 27" xfId="3812"/>
    <cellStyle name="Percent 10 3 28" xfId="3813"/>
    <cellStyle name="Percent 10 3 29" xfId="3814"/>
    <cellStyle name="Percent 10 3 3" xfId="3815"/>
    <cellStyle name="Percent 10 3 30" xfId="3816"/>
    <cellStyle name="Percent 10 3 4" xfId="3817"/>
    <cellStyle name="Percent 10 3 5" xfId="3818"/>
    <cellStyle name="Percent 10 3 6" xfId="3819"/>
    <cellStyle name="Percent 10 3 7" xfId="3820"/>
    <cellStyle name="Percent 10 3 8" xfId="3821"/>
    <cellStyle name="Percent 10 3 9" xfId="3822"/>
    <cellStyle name="Percent 10 3_Forecast" xfId="24587"/>
    <cellStyle name="Percent 10 30" xfId="3823"/>
    <cellStyle name="Percent 10 31" xfId="3824"/>
    <cellStyle name="Percent 10 32" xfId="3825"/>
    <cellStyle name="Percent 10 33" xfId="3826"/>
    <cellStyle name="Percent 10 4" xfId="3827"/>
    <cellStyle name="Percent 10 4 10" xfId="3828"/>
    <cellStyle name="Percent 10 4 11" xfId="3829"/>
    <cellStyle name="Percent 10 4 12" xfId="3830"/>
    <cellStyle name="Percent 10 4 13" xfId="3831"/>
    <cellStyle name="Percent 10 4 14" xfId="3832"/>
    <cellStyle name="Percent 10 4 15" xfId="3833"/>
    <cellStyle name="Percent 10 4 16" xfId="3834"/>
    <cellStyle name="Percent 10 4 17" xfId="3835"/>
    <cellStyle name="Percent 10 4 18" xfId="3836"/>
    <cellStyle name="Percent 10 4 19" xfId="3837"/>
    <cellStyle name="Percent 10 4 2" xfId="3838"/>
    <cellStyle name="Percent 10 4 20" xfId="3839"/>
    <cellStyle name="Percent 10 4 21" xfId="3840"/>
    <cellStyle name="Percent 10 4 22" xfId="3841"/>
    <cellStyle name="Percent 10 4 23" xfId="3842"/>
    <cellStyle name="Percent 10 4 24" xfId="3843"/>
    <cellStyle name="Percent 10 4 25" xfId="3844"/>
    <cellStyle name="Percent 10 4 26" xfId="3845"/>
    <cellStyle name="Percent 10 4 27" xfId="3846"/>
    <cellStyle name="Percent 10 4 28" xfId="3847"/>
    <cellStyle name="Percent 10 4 29" xfId="3848"/>
    <cellStyle name="Percent 10 4 3" xfId="3849"/>
    <cellStyle name="Percent 10 4 30" xfId="3850"/>
    <cellStyle name="Percent 10 4 4" xfId="3851"/>
    <cellStyle name="Percent 10 4 5" xfId="3852"/>
    <cellStyle name="Percent 10 4 6" xfId="3853"/>
    <cellStyle name="Percent 10 4 7" xfId="3854"/>
    <cellStyle name="Percent 10 4 8" xfId="3855"/>
    <cellStyle name="Percent 10 4 9" xfId="3856"/>
    <cellStyle name="Percent 10 4_Forecast" xfId="24588"/>
    <cellStyle name="Percent 10 5" xfId="3857"/>
    <cellStyle name="Percent 10 6" xfId="3858"/>
    <cellStyle name="Percent 10 7" xfId="3859"/>
    <cellStyle name="Percent 10 8" xfId="3860"/>
    <cellStyle name="Percent 10 9" xfId="3861"/>
    <cellStyle name="Percent 10_Forecast" xfId="24589"/>
    <cellStyle name="Percent 11" xfId="3862"/>
    <cellStyle name="Percent 11 10" xfId="3863"/>
    <cellStyle name="Percent 11 11" xfId="3864"/>
    <cellStyle name="Percent 11 12" xfId="3865"/>
    <cellStyle name="Percent 11 13" xfId="3866"/>
    <cellStyle name="Percent 11 14" xfId="3867"/>
    <cellStyle name="Percent 11 15" xfId="3868"/>
    <cellStyle name="Percent 11 16" xfId="3869"/>
    <cellStyle name="Percent 11 17" xfId="3870"/>
    <cellStyle name="Percent 11 18" xfId="3871"/>
    <cellStyle name="Percent 11 19" xfId="3872"/>
    <cellStyle name="Percent 11 2" xfId="3873"/>
    <cellStyle name="Percent 11 2 10" xfId="3874"/>
    <cellStyle name="Percent 11 2 11" xfId="3875"/>
    <cellStyle name="Percent 11 2 12" xfId="3876"/>
    <cellStyle name="Percent 11 2 13" xfId="3877"/>
    <cellStyle name="Percent 11 2 14" xfId="3878"/>
    <cellStyle name="Percent 11 2 15" xfId="3879"/>
    <cellStyle name="Percent 11 2 16" xfId="3880"/>
    <cellStyle name="Percent 11 2 17" xfId="3881"/>
    <cellStyle name="Percent 11 2 18" xfId="3882"/>
    <cellStyle name="Percent 11 2 19" xfId="3883"/>
    <cellStyle name="Percent 11 2 2" xfId="3884"/>
    <cellStyle name="Percent 11 2 20" xfId="3885"/>
    <cellStyle name="Percent 11 2 21" xfId="3886"/>
    <cellStyle name="Percent 11 2 22" xfId="3887"/>
    <cellStyle name="Percent 11 2 23" xfId="3888"/>
    <cellStyle name="Percent 11 2 24" xfId="3889"/>
    <cellStyle name="Percent 11 2 25" xfId="3890"/>
    <cellStyle name="Percent 11 2 26" xfId="3891"/>
    <cellStyle name="Percent 11 2 27" xfId="3892"/>
    <cellStyle name="Percent 11 2 28" xfId="3893"/>
    <cellStyle name="Percent 11 2 29" xfId="3894"/>
    <cellStyle name="Percent 11 2 3" xfId="3895"/>
    <cellStyle name="Percent 11 2 30" xfId="3896"/>
    <cellStyle name="Percent 11 2 4" xfId="3897"/>
    <cellStyle name="Percent 11 2 5" xfId="3898"/>
    <cellStyle name="Percent 11 2 6" xfId="3899"/>
    <cellStyle name="Percent 11 2 7" xfId="3900"/>
    <cellStyle name="Percent 11 2 8" xfId="3901"/>
    <cellStyle name="Percent 11 2 9" xfId="3902"/>
    <cellStyle name="Percent 11 2_Forecast" xfId="24590"/>
    <cellStyle name="Percent 11 20" xfId="3903"/>
    <cellStyle name="Percent 11 21" xfId="3904"/>
    <cellStyle name="Percent 11 22" xfId="3905"/>
    <cellStyle name="Percent 11 23" xfId="3906"/>
    <cellStyle name="Percent 11 24" xfId="3907"/>
    <cellStyle name="Percent 11 25" xfId="3908"/>
    <cellStyle name="Percent 11 26" xfId="3909"/>
    <cellStyle name="Percent 11 27" xfId="3910"/>
    <cellStyle name="Percent 11 28" xfId="3911"/>
    <cellStyle name="Percent 11 29" xfId="3912"/>
    <cellStyle name="Percent 11 3" xfId="3913"/>
    <cellStyle name="Percent 11 3 10" xfId="3914"/>
    <cellStyle name="Percent 11 3 11" xfId="3915"/>
    <cellStyle name="Percent 11 3 12" xfId="3916"/>
    <cellStyle name="Percent 11 3 13" xfId="3917"/>
    <cellStyle name="Percent 11 3 14" xfId="3918"/>
    <cellStyle name="Percent 11 3 15" xfId="3919"/>
    <cellStyle name="Percent 11 3 16" xfId="3920"/>
    <cellStyle name="Percent 11 3 17" xfId="3921"/>
    <cellStyle name="Percent 11 3 18" xfId="3922"/>
    <cellStyle name="Percent 11 3 19" xfId="3923"/>
    <cellStyle name="Percent 11 3 2" xfId="3924"/>
    <cellStyle name="Percent 11 3 20" xfId="3925"/>
    <cellStyle name="Percent 11 3 21" xfId="3926"/>
    <cellStyle name="Percent 11 3 22" xfId="3927"/>
    <cellStyle name="Percent 11 3 23" xfId="3928"/>
    <cellStyle name="Percent 11 3 24" xfId="3929"/>
    <cellStyle name="Percent 11 3 25" xfId="3930"/>
    <cellStyle name="Percent 11 3 26" xfId="3931"/>
    <cellStyle name="Percent 11 3 27" xfId="3932"/>
    <cellStyle name="Percent 11 3 28" xfId="3933"/>
    <cellStyle name="Percent 11 3 29" xfId="3934"/>
    <cellStyle name="Percent 11 3 3" xfId="3935"/>
    <cellStyle name="Percent 11 3 30" xfId="3936"/>
    <cellStyle name="Percent 11 3 4" xfId="3937"/>
    <cellStyle name="Percent 11 3 5" xfId="3938"/>
    <cellStyle name="Percent 11 3 6" xfId="3939"/>
    <cellStyle name="Percent 11 3 7" xfId="3940"/>
    <cellStyle name="Percent 11 3 8" xfId="3941"/>
    <cellStyle name="Percent 11 3 9" xfId="3942"/>
    <cellStyle name="Percent 11 3_Forecast" xfId="24591"/>
    <cellStyle name="Percent 11 30" xfId="3943"/>
    <cellStyle name="Percent 11 31" xfId="3944"/>
    <cellStyle name="Percent 11 32" xfId="3945"/>
    <cellStyle name="Percent 11 33" xfId="3946"/>
    <cellStyle name="Percent 11 4" xfId="3947"/>
    <cellStyle name="Percent 11 4 10" xfId="3948"/>
    <cellStyle name="Percent 11 4 11" xfId="3949"/>
    <cellStyle name="Percent 11 4 12" xfId="3950"/>
    <cellStyle name="Percent 11 4 13" xfId="3951"/>
    <cellStyle name="Percent 11 4 14" xfId="3952"/>
    <cellStyle name="Percent 11 4 15" xfId="3953"/>
    <cellStyle name="Percent 11 4 16" xfId="3954"/>
    <cellStyle name="Percent 11 4 17" xfId="3955"/>
    <cellStyle name="Percent 11 4 18" xfId="3956"/>
    <cellStyle name="Percent 11 4 19" xfId="3957"/>
    <cellStyle name="Percent 11 4 2" xfId="3958"/>
    <cellStyle name="Percent 11 4 20" xfId="3959"/>
    <cellStyle name="Percent 11 4 21" xfId="3960"/>
    <cellStyle name="Percent 11 4 22" xfId="3961"/>
    <cellStyle name="Percent 11 4 23" xfId="3962"/>
    <cellStyle name="Percent 11 4 24" xfId="3963"/>
    <cellStyle name="Percent 11 4 25" xfId="3964"/>
    <cellStyle name="Percent 11 4 26" xfId="3965"/>
    <cellStyle name="Percent 11 4 27" xfId="3966"/>
    <cellStyle name="Percent 11 4 28" xfId="3967"/>
    <cellStyle name="Percent 11 4 29" xfId="3968"/>
    <cellStyle name="Percent 11 4 3" xfId="3969"/>
    <cellStyle name="Percent 11 4 30" xfId="3970"/>
    <cellStyle name="Percent 11 4 4" xfId="3971"/>
    <cellStyle name="Percent 11 4 5" xfId="3972"/>
    <cellStyle name="Percent 11 4 6" xfId="3973"/>
    <cellStyle name="Percent 11 4 7" xfId="3974"/>
    <cellStyle name="Percent 11 4 8" xfId="3975"/>
    <cellStyle name="Percent 11 4 9" xfId="3976"/>
    <cellStyle name="Percent 11 4_Forecast" xfId="24592"/>
    <cellStyle name="Percent 11 5" xfId="3977"/>
    <cellStyle name="Percent 11 6" xfId="3978"/>
    <cellStyle name="Percent 11 7" xfId="3979"/>
    <cellStyle name="Percent 11 8" xfId="3980"/>
    <cellStyle name="Percent 11 9" xfId="3981"/>
    <cellStyle name="Percent 11_Forecast" xfId="24593"/>
    <cellStyle name="Percent 12" xfId="3982"/>
    <cellStyle name="Percent 12 10" xfId="3983"/>
    <cellStyle name="Percent 12 11" xfId="3984"/>
    <cellStyle name="Percent 12 12" xfId="3985"/>
    <cellStyle name="Percent 12 13" xfId="3986"/>
    <cellStyle name="Percent 12 14" xfId="3987"/>
    <cellStyle name="Percent 12 15" xfId="3988"/>
    <cellStyle name="Percent 12 16" xfId="3989"/>
    <cellStyle name="Percent 12 17" xfId="3990"/>
    <cellStyle name="Percent 12 18" xfId="3991"/>
    <cellStyle name="Percent 12 19" xfId="3992"/>
    <cellStyle name="Percent 12 2" xfId="3993"/>
    <cellStyle name="Percent 12 20" xfId="3994"/>
    <cellStyle name="Percent 12 21" xfId="3995"/>
    <cellStyle name="Percent 12 22" xfId="3996"/>
    <cellStyle name="Percent 12 23" xfId="3997"/>
    <cellStyle name="Percent 12 24" xfId="3998"/>
    <cellStyle name="Percent 12 25" xfId="3999"/>
    <cellStyle name="Percent 12 26" xfId="4000"/>
    <cellStyle name="Percent 12 27" xfId="4001"/>
    <cellStyle name="Percent 12 28" xfId="4002"/>
    <cellStyle name="Percent 12 29" xfId="4003"/>
    <cellStyle name="Percent 12 3" xfId="4004"/>
    <cellStyle name="Percent 12 30" xfId="4005"/>
    <cellStyle name="Percent 12 4" xfId="4006"/>
    <cellStyle name="Percent 12 5" xfId="4007"/>
    <cellStyle name="Percent 12 6" xfId="4008"/>
    <cellStyle name="Percent 12 7" xfId="4009"/>
    <cellStyle name="Percent 12 8" xfId="4010"/>
    <cellStyle name="Percent 12 9" xfId="4011"/>
    <cellStyle name="Percent 12_Forecast" xfId="24594"/>
    <cellStyle name="Percent 13" xfId="4012"/>
    <cellStyle name="Percent 13 10" xfId="4013"/>
    <cellStyle name="Percent 13 11" xfId="4014"/>
    <cellStyle name="Percent 13 12" xfId="4015"/>
    <cellStyle name="Percent 13 13" xfId="4016"/>
    <cellStyle name="Percent 13 14" xfId="4017"/>
    <cellStyle name="Percent 13 15" xfId="4018"/>
    <cellStyle name="Percent 13 16" xfId="4019"/>
    <cellStyle name="Percent 13 17" xfId="4020"/>
    <cellStyle name="Percent 13 18" xfId="4021"/>
    <cellStyle name="Percent 13 19" xfId="4022"/>
    <cellStyle name="Percent 13 2" xfId="4023"/>
    <cellStyle name="Percent 13 2 2" xfId="24595"/>
    <cellStyle name="Percent 13 2_Forecast" xfId="24596"/>
    <cellStyle name="Percent 13 20" xfId="4024"/>
    <cellStyle name="Percent 13 21" xfId="4025"/>
    <cellStyle name="Percent 13 22" xfId="4026"/>
    <cellStyle name="Percent 13 23" xfId="4027"/>
    <cellStyle name="Percent 13 24" xfId="4028"/>
    <cellStyle name="Percent 13 25" xfId="4029"/>
    <cellStyle name="Percent 13 26" xfId="4030"/>
    <cellStyle name="Percent 13 27" xfId="4031"/>
    <cellStyle name="Percent 13 28" xfId="4032"/>
    <cellStyle name="Percent 13 29" xfId="4033"/>
    <cellStyle name="Percent 13 3" xfId="4034"/>
    <cellStyle name="Percent 13 3 2" xfId="24597"/>
    <cellStyle name="Percent 13 3_Forecast" xfId="24598"/>
    <cellStyle name="Percent 13 30" xfId="4035"/>
    <cellStyle name="Percent 13 4" xfId="4036"/>
    <cellStyle name="Percent 13 4 2" xfId="24599"/>
    <cellStyle name="Percent 13 4_Forecast" xfId="24600"/>
    <cellStyle name="Percent 13 5" xfId="4037"/>
    <cellStyle name="Percent 13 5 2" xfId="24601"/>
    <cellStyle name="Percent 13 5_Forecast" xfId="24602"/>
    <cellStyle name="Percent 13 6" xfId="4038"/>
    <cellStyle name="Percent 13 6 2" xfId="24603"/>
    <cellStyle name="Percent 13 6_Forecast" xfId="24604"/>
    <cellStyle name="Percent 13 7" xfId="4039"/>
    <cellStyle name="Percent 13 7 2" xfId="24605"/>
    <cellStyle name="Percent 13 7_Forecast" xfId="24606"/>
    <cellStyle name="Percent 13 8" xfId="4040"/>
    <cellStyle name="Percent 13 8 2" xfId="24607"/>
    <cellStyle name="Percent 13 8_Forecast" xfId="24608"/>
    <cellStyle name="Percent 13 9" xfId="4041"/>
    <cellStyle name="Percent 13 9 2" xfId="24609"/>
    <cellStyle name="Percent 13 9_Forecast" xfId="24610"/>
    <cellStyle name="Percent 13_Forecast" xfId="24611"/>
    <cellStyle name="Percent 14" xfId="4042"/>
    <cellStyle name="Percent 14 10" xfId="4043"/>
    <cellStyle name="Percent 14 10 2" xfId="24612"/>
    <cellStyle name="Percent 14 10_Forecast" xfId="24613"/>
    <cellStyle name="Percent 14 11" xfId="4044"/>
    <cellStyle name="Percent 14 12" xfId="4045"/>
    <cellStyle name="Percent 14 13" xfId="4046"/>
    <cellStyle name="Percent 14 14" xfId="4047"/>
    <cellStyle name="Percent 14 15" xfId="4048"/>
    <cellStyle name="Percent 14 16" xfId="4049"/>
    <cellStyle name="Percent 14 17" xfId="4050"/>
    <cellStyle name="Percent 14 18" xfId="4051"/>
    <cellStyle name="Percent 14 19" xfId="4052"/>
    <cellStyle name="Percent 14 2" xfId="4053"/>
    <cellStyle name="Percent 14 2 2" xfId="24614"/>
    <cellStyle name="Percent 14 2_Forecast" xfId="24615"/>
    <cellStyle name="Percent 14 20" xfId="4054"/>
    <cellStyle name="Percent 14 21" xfId="4055"/>
    <cellStyle name="Percent 14 22" xfId="4056"/>
    <cellStyle name="Percent 14 23" xfId="4057"/>
    <cellStyle name="Percent 14 24" xfId="4058"/>
    <cellStyle name="Percent 14 25" xfId="4059"/>
    <cellStyle name="Percent 14 26" xfId="4060"/>
    <cellStyle name="Percent 14 27" xfId="4061"/>
    <cellStyle name="Percent 14 28" xfId="4062"/>
    <cellStyle name="Percent 14 29" xfId="4063"/>
    <cellStyle name="Percent 14 3" xfId="4064"/>
    <cellStyle name="Percent 14 3 2" xfId="24616"/>
    <cellStyle name="Percent 14 3_Forecast" xfId="24617"/>
    <cellStyle name="Percent 14 30" xfId="4065"/>
    <cellStyle name="Percent 14 31" xfId="24618"/>
    <cellStyle name="Percent 14 4" xfId="4066"/>
    <cellStyle name="Percent 14 4 2" xfId="24619"/>
    <cellStyle name="Percent 14 4_Forecast" xfId="24620"/>
    <cellStyle name="Percent 14 5" xfId="4067"/>
    <cellStyle name="Percent 14 5 2" xfId="24621"/>
    <cellStyle name="Percent 14 5_Forecast" xfId="24622"/>
    <cellStyle name="Percent 14 6" xfId="4068"/>
    <cellStyle name="Percent 14 6 2" xfId="24623"/>
    <cellStyle name="Percent 14 6_Forecast" xfId="24624"/>
    <cellStyle name="Percent 14 7" xfId="4069"/>
    <cellStyle name="Percent 14 7 2" xfId="24625"/>
    <cellStyle name="Percent 14 7_Forecast" xfId="24626"/>
    <cellStyle name="Percent 14 8" xfId="4070"/>
    <cellStyle name="Percent 14 8 2" xfId="24627"/>
    <cellStyle name="Percent 14 8_Forecast" xfId="24628"/>
    <cellStyle name="Percent 14 9" xfId="4071"/>
    <cellStyle name="Percent 14 9 2" xfId="24629"/>
    <cellStyle name="Percent 14 9_Forecast" xfId="24630"/>
    <cellStyle name="Percent 14_Forecast" xfId="24631"/>
    <cellStyle name="Percent 15" xfId="4072"/>
    <cellStyle name="Percent 15 10" xfId="4073"/>
    <cellStyle name="Percent 15 10 2" xfId="24632"/>
    <cellStyle name="Percent 15 10_Forecast" xfId="24633"/>
    <cellStyle name="Percent 15 11" xfId="4074"/>
    <cellStyle name="Percent 15 11 2" xfId="24634"/>
    <cellStyle name="Percent 15 11_Forecast" xfId="24635"/>
    <cellStyle name="Percent 15 12" xfId="4075"/>
    <cellStyle name="Percent 15 12 2" xfId="24636"/>
    <cellStyle name="Percent 15 12_Forecast" xfId="24637"/>
    <cellStyle name="Percent 15 13" xfId="4076"/>
    <cellStyle name="Percent 15 13 2" xfId="24638"/>
    <cellStyle name="Percent 15 13_Forecast" xfId="24639"/>
    <cellStyle name="Percent 15 14" xfId="4077"/>
    <cellStyle name="Percent 15 15" xfId="4078"/>
    <cellStyle name="Percent 15 16" xfId="4079"/>
    <cellStyle name="Percent 15 17" xfId="4080"/>
    <cellStyle name="Percent 15 18" xfId="4081"/>
    <cellStyle name="Percent 15 19" xfId="4082"/>
    <cellStyle name="Percent 15 2" xfId="4083"/>
    <cellStyle name="Percent 15 2 10" xfId="4084"/>
    <cellStyle name="Percent 15 2 10 2" xfId="24640"/>
    <cellStyle name="Percent 15 2 10_Forecast" xfId="24641"/>
    <cellStyle name="Percent 15 2 11" xfId="4085"/>
    <cellStyle name="Percent 15 2 12" xfId="4086"/>
    <cellStyle name="Percent 15 2 13" xfId="4087"/>
    <cellStyle name="Percent 15 2 14" xfId="4088"/>
    <cellStyle name="Percent 15 2 15" xfId="4089"/>
    <cellStyle name="Percent 15 2 16" xfId="4090"/>
    <cellStyle name="Percent 15 2 17" xfId="4091"/>
    <cellStyle name="Percent 15 2 18" xfId="4092"/>
    <cellStyle name="Percent 15 2 19" xfId="4093"/>
    <cellStyle name="Percent 15 2 2" xfId="4094"/>
    <cellStyle name="Percent 15 2 2 2" xfId="24642"/>
    <cellStyle name="Percent 15 2 2_Forecast" xfId="24643"/>
    <cellStyle name="Percent 15 2 20" xfId="4095"/>
    <cellStyle name="Percent 15 2 21" xfId="4096"/>
    <cellStyle name="Percent 15 2 22" xfId="4097"/>
    <cellStyle name="Percent 15 2 23" xfId="4098"/>
    <cellStyle name="Percent 15 2 24" xfId="4099"/>
    <cellStyle name="Percent 15 2 25" xfId="4100"/>
    <cellStyle name="Percent 15 2 26" xfId="4101"/>
    <cellStyle name="Percent 15 2 27" xfId="4102"/>
    <cellStyle name="Percent 15 2 28" xfId="4103"/>
    <cellStyle name="Percent 15 2 29" xfId="4104"/>
    <cellStyle name="Percent 15 2 3" xfId="4105"/>
    <cellStyle name="Percent 15 2 3 2" xfId="24644"/>
    <cellStyle name="Percent 15 2 3_Forecast" xfId="24645"/>
    <cellStyle name="Percent 15 2 30" xfId="4106"/>
    <cellStyle name="Percent 15 2 31" xfId="24646"/>
    <cellStyle name="Percent 15 2 4" xfId="4107"/>
    <cellStyle name="Percent 15 2 4 2" xfId="24647"/>
    <cellStyle name="Percent 15 2 4_Forecast" xfId="24648"/>
    <cellStyle name="Percent 15 2 5" xfId="4108"/>
    <cellStyle name="Percent 15 2 5 2" xfId="24649"/>
    <cellStyle name="Percent 15 2 5_Forecast" xfId="24650"/>
    <cellStyle name="Percent 15 2 6" xfId="4109"/>
    <cellStyle name="Percent 15 2 6 2" xfId="24651"/>
    <cellStyle name="Percent 15 2 6_Forecast" xfId="24652"/>
    <cellStyle name="Percent 15 2 7" xfId="4110"/>
    <cellStyle name="Percent 15 2 7 2" xfId="24653"/>
    <cellStyle name="Percent 15 2 7_Forecast" xfId="24654"/>
    <cellStyle name="Percent 15 2 8" xfId="4111"/>
    <cellStyle name="Percent 15 2 8 2" xfId="24655"/>
    <cellStyle name="Percent 15 2 8_Forecast" xfId="24656"/>
    <cellStyle name="Percent 15 2 9" xfId="4112"/>
    <cellStyle name="Percent 15 2 9 2" xfId="24657"/>
    <cellStyle name="Percent 15 2 9_Forecast" xfId="24658"/>
    <cellStyle name="Percent 15 2_Forecast" xfId="24659"/>
    <cellStyle name="Percent 15 20" xfId="4113"/>
    <cellStyle name="Percent 15 21" xfId="4114"/>
    <cellStyle name="Percent 15 22" xfId="4115"/>
    <cellStyle name="Percent 15 23" xfId="4116"/>
    <cellStyle name="Percent 15 24" xfId="4117"/>
    <cellStyle name="Percent 15 25" xfId="4118"/>
    <cellStyle name="Percent 15 26" xfId="4119"/>
    <cellStyle name="Percent 15 27" xfId="4120"/>
    <cellStyle name="Percent 15 28" xfId="4121"/>
    <cellStyle name="Percent 15 29" xfId="4122"/>
    <cellStyle name="Percent 15 3" xfId="4123"/>
    <cellStyle name="Percent 15 3 10" xfId="4124"/>
    <cellStyle name="Percent 15 3 10 2" xfId="24660"/>
    <cellStyle name="Percent 15 3 10_Forecast" xfId="24661"/>
    <cellStyle name="Percent 15 3 11" xfId="4125"/>
    <cellStyle name="Percent 15 3 12" xfId="4126"/>
    <cellStyle name="Percent 15 3 13" xfId="4127"/>
    <cellStyle name="Percent 15 3 14" xfId="4128"/>
    <cellStyle name="Percent 15 3 15" xfId="4129"/>
    <cellStyle name="Percent 15 3 16" xfId="4130"/>
    <cellStyle name="Percent 15 3 17" xfId="4131"/>
    <cellStyle name="Percent 15 3 18" xfId="4132"/>
    <cellStyle name="Percent 15 3 19" xfId="4133"/>
    <cellStyle name="Percent 15 3 2" xfId="4134"/>
    <cellStyle name="Percent 15 3 2 2" xfId="24662"/>
    <cellStyle name="Percent 15 3 2_Forecast" xfId="24663"/>
    <cellStyle name="Percent 15 3 20" xfId="4135"/>
    <cellStyle name="Percent 15 3 21" xfId="4136"/>
    <cellStyle name="Percent 15 3 22" xfId="4137"/>
    <cellStyle name="Percent 15 3 23" xfId="4138"/>
    <cellStyle name="Percent 15 3 24" xfId="4139"/>
    <cellStyle name="Percent 15 3 25" xfId="4140"/>
    <cellStyle name="Percent 15 3 26" xfId="4141"/>
    <cellStyle name="Percent 15 3 27" xfId="4142"/>
    <cellStyle name="Percent 15 3 28" xfId="4143"/>
    <cellStyle name="Percent 15 3 29" xfId="4144"/>
    <cellStyle name="Percent 15 3 3" xfId="4145"/>
    <cellStyle name="Percent 15 3 3 2" xfId="24664"/>
    <cellStyle name="Percent 15 3 3_Forecast" xfId="24665"/>
    <cellStyle name="Percent 15 3 30" xfId="4146"/>
    <cellStyle name="Percent 15 3 31" xfId="24666"/>
    <cellStyle name="Percent 15 3 4" xfId="4147"/>
    <cellStyle name="Percent 15 3 4 2" xfId="24667"/>
    <cellStyle name="Percent 15 3 4_Forecast" xfId="24668"/>
    <cellStyle name="Percent 15 3 5" xfId="4148"/>
    <cellStyle name="Percent 15 3 5 2" xfId="24669"/>
    <cellStyle name="Percent 15 3 5_Forecast" xfId="24670"/>
    <cellStyle name="Percent 15 3 6" xfId="4149"/>
    <cellStyle name="Percent 15 3 6 2" xfId="24671"/>
    <cellStyle name="Percent 15 3 6_Forecast" xfId="24672"/>
    <cellStyle name="Percent 15 3 7" xfId="4150"/>
    <cellStyle name="Percent 15 3 7 2" xfId="24673"/>
    <cellStyle name="Percent 15 3 7_Forecast" xfId="24674"/>
    <cellStyle name="Percent 15 3 8" xfId="4151"/>
    <cellStyle name="Percent 15 3 8 2" xfId="24675"/>
    <cellStyle name="Percent 15 3 8_Forecast" xfId="24676"/>
    <cellStyle name="Percent 15 3 9" xfId="4152"/>
    <cellStyle name="Percent 15 3 9 2" xfId="24677"/>
    <cellStyle name="Percent 15 3 9_Forecast" xfId="24678"/>
    <cellStyle name="Percent 15 3_Forecast" xfId="24679"/>
    <cellStyle name="Percent 15 30" xfId="4153"/>
    <cellStyle name="Percent 15 31" xfId="4154"/>
    <cellStyle name="Percent 15 32" xfId="4155"/>
    <cellStyle name="Percent 15 33" xfId="4156"/>
    <cellStyle name="Percent 15 34" xfId="24680"/>
    <cellStyle name="Percent 15 4" xfId="4157"/>
    <cellStyle name="Percent 15 4 10" xfId="4158"/>
    <cellStyle name="Percent 15 4 10 2" xfId="24681"/>
    <cellStyle name="Percent 15 4 10_Forecast" xfId="24682"/>
    <cellStyle name="Percent 15 4 11" xfId="4159"/>
    <cellStyle name="Percent 15 4 12" xfId="4160"/>
    <cellStyle name="Percent 15 4 13" xfId="4161"/>
    <cellStyle name="Percent 15 4 14" xfId="4162"/>
    <cellStyle name="Percent 15 4 14 2" xfId="4163"/>
    <cellStyle name="Percent 15 4 14_Note Calc" xfId="27753"/>
    <cellStyle name="Percent 15 4 15" xfId="4164"/>
    <cellStyle name="Percent 15 4 15 2" xfId="4165"/>
    <cellStyle name="Percent 15 4 15_Note Calc" xfId="27754"/>
    <cellStyle name="Percent 15 4 16" xfId="4166"/>
    <cellStyle name="Percent 15 4 16 2" xfId="4167"/>
    <cellStyle name="Percent 15 4 16_Note Calc" xfId="27755"/>
    <cellStyle name="Percent 15 4 17" xfId="4168"/>
    <cellStyle name="Percent 15 4 17 2" xfId="4169"/>
    <cellStyle name="Percent 15 4 17_Note Calc" xfId="27756"/>
    <cellStyle name="Percent 15 4 18" xfId="4170"/>
    <cellStyle name="Percent 15 4 18 2" xfId="4171"/>
    <cellStyle name="Percent 15 4 18_Note Calc" xfId="27757"/>
    <cellStyle name="Percent 15 4 19" xfId="4172"/>
    <cellStyle name="Percent 15 4 19 2" xfId="4173"/>
    <cellStyle name="Percent 15 4 19_Note Calc" xfId="27758"/>
    <cellStyle name="Percent 15 4 2" xfId="4174"/>
    <cellStyle name="Percent 15 4 2 2" xfId="4175"/>
    <cellStyle name="Percent 15 4 2 3" xfId="24683"/>
    <cellStyle name="Percent 15 4 2_Forecast" xfId="24684"/>
    <cellStyle name="Percent 15 4 20" xfId="4176"/>
    <cellStyle name="Percent 15 4 20 2" xfId="4177"/>
    <cellStyle name="Percent 15 4 20_Note Calc" xfId="27759"/>
    <cellStyle name="Percent 15 4 21" xfId="4178"/>
    <cellStyle name="Percent 15 4 21 2" xfId="4179"/>
    <cellStyle name="Percent 15 4 21_Note Calc" xfId="27760"/>
    <cellStyle name="Percent 15 4 22" xfId="4180"/>
    <cellStyle name="Percent 15 4 22 2" xfId="4181"/>
    <cellStyle name="Percent 15 4 22_Note Calc" xfId="27761"/>
    <cellStyle name="Percent 15 4 23" xfId="4182"/>
    <cellStyle name="Percent 15 4 23 2" xfId="4183"/>
    <cellStyle name="Percent 15 4 23_Note Calc" xfId="27762"/>
    <cellStyle name="Percent 15 4 24" xfId="4184"/>
    <cellStyle name="Percent 15 4 24 2" xfId="4185"/>
    <cellStyle name="Percent 15 4 24_Note Calc" xfId="27763"/>
    <cellStyle name="Percent 15 4 25" xfId="4186"/>
    <cellStyle name="Percent 15 4 25 2" xfId="4187"/>
    <cellStyle name="Percent 15 4 25_Note Calc" xfId="27764"/>
    <cellStyle name="Percent 15 4 26" xfId="4188"/>
    <cellStyle name="Percent 15 4 26 2" xfId="4189"/>
    <cellStyle name="Percent 15 4 26_Note Calc" xfId="27765"/>
    <cellStyle name="Percent 15 4 27" xfId="4190"/>
    <cellStyle name="Percent 15 4 27 2" xfId="4191"/>
    <cellStyle name="Percent 15 4 27_Note Calc" xfId="27766"/>
    <cellStyle name="Percent 15 4 28" xfId="4192"/>
    <cellStyle name="Percent 15 4 28 2" xfId="4193"/>
    <cellStyle name="Percent 15 4 28_Note Calc" xfId="27767"/>
    <cellStyle name="Percent 15 4 29" xfId="4194"/>
    <cellStyle name="Percent 15 4 3" xfId="4195"/>
    <cellStyle name="Percent 15 4 3 2" xfId="4196"/>
    <cellStyle name="Percent 15 4 3 3" xfId="24685"/>
    <cellStyle name="Percent 15 4 3_Forecast" xfId="24686"/>
    <cellStyle name="Percent 15 4 30" xfId="4197"/>
    <cellStyle name="Percent 15 4 31" xfId="24687"/>
    <cellStyle name="Percent 15 4 4" xfId="4198"/>
    <cellStyle name="Percent 15 4 4 2" xfId="4199"/>
    <cellStyle name="Percent 15 4 4 3" xfId="24688"/>
    <cellStyle name="Percent 15 4 4_Forecast" xfId="24689"/>
    <cellStyle name="Percent 15 4 5" xfId="4200"/>
    <cellStyle name="Percent 15 4 5 2" xfId="4201"/>
    <cellStyle name="Percent 15 4 5 3" xfId="24690"/>
    <cellStyle name="Percent 15 4 5_Forecast" xfId="24691"/>
    <cellStyle name="Percent 15 4 6" xfId="4202"/>
    <cellStyle name="Percent 15 4 6 2" xfId="4203"/>
    <cellStyle name="Percent 15 4 6 3" xfId="24692"/>
    <cellStyle name="Percent 15 4 6_Forecast" xfId="24693"/>
    <cellStyle name="Percent 15 4 7" xfId="4204"/>
    <cellStyle name="Percent 15 4 7 2" xfId="4205"/>
    <cellStyle name="Percent 15 4 7 3" xfId="24694"/>
    <cellStyle name="Percent 15 4 7_Forecast" xfId="24695"/>
    <cellStyle name="Percent 15 4 8" xfId="4206"/>
    <cellStyle name="Percent 15 4 8 2" xfId="4207"/>
    <cellStyle name="Percent 15 4 8 3" xfId="24696"/>
    <cellStyle name="Percent 15 4 8_Forecast" xfId="24697"/>
    <cellStyle name="Percent 15 4 9" xfId="4208"/>
    <cellStyle name="Percent 15 4 9 2" xfId="4209"/>
    <cellStyle name="Percent 15 4 9 3" xfId="24698"/>
    <cellStyle name="Percent 15 4 9_Forecast" xfId="24699"/>
    <cellStyle name="Percent 15 4_Forecast" xfId="24700"/>
    <cellStyle name="Percent 15 5" xfId="4210"/>
    <cellStyle name="Percent 15 5 2" xfId="4211"/>
    <cellStyle name="Percent 15 5 3" xfId="24701"/>
    <cellStyle name="Percent 15 5_Forecast" xfId="24702"/>
    <cellStyle name="Percent 15 6" xfId="4212"/>
    <cellStyle name="Percent 15 6 2" xfId="4213"/>
    <cellStyle name="Percent 15 6 3" xfId="24703"/>
    <cellStyle name="Percent 15 6_Forecast" xfId="24704"/>
    <cellStyle name="Percent 15 7" xfId="4214"/>
    <cellStyle name="Percent 15 7 2" xfId="4215"/>
    <cellStyle name="Percent 15 7 3" xfId="24705"/>
    <cellStyle name="Percent 15 7_Forecast" xfId="24706"/>
    <cellStyle name="Percent 15 8" xfId="4216"/>
    <cellStyle name="Percent 15 8 2" xfId="4217"/>
    <cellStyle name="Percent 15 8 3" xfId="24707"/>
    <cellStyle name="Percent 15 8_Forecast" xfId="24708"/>
    <cellStyle name="Percent 15 9" xfId="4218"/>
    <cellStyle name="Percent 15 9 2" xfId="4219"/>
    <cellStyle name="Percent 15 9 3" xfId="24709"/>
    <cellStyle name="Percent 15 9_Forecast" xfId="24710"/>
    <cellStyle name="Percent 15_Forecast" xfId="24711"/>
    <cellStyle name="Percent 16" xfId="4220"/>
    <cellStyle name="Percent 16 10" xfId="4221"/>
    <cellStyle name="Percent 16 10 2" xfId="4222"/>
    <cellStyle name="Percent 16 10 3" xfId="24712"/>
    <cellStyle name="Percent 16 10_Forecast" xfId="24713"/>
    <cellStyle name="Percent 16 11" xfId="4223"/>
    <cellStyle name="Percent 16 11 2" xfId="4224"/>
    <cellStyle name="Percent 16 11 3" xfId="24714"/>
    <cellStyle name="Percent 16 11_Forecast" xfId="24715"/>
    <cellStyle name="Percent 16 12" xfId="4225"/>
    <cellStyle name="Percent 16 12 2" xfId="4226"/>
    <cellStyle name="Percent 16 12 3" xfId="24716"/>
    <cellStyle name="Percent 16 12_Forecast" xfId="24717"/>
    <cellStyle name="Percent 16 13" xfId="4227"/>
    <cellStyle name="Percent 16 13 2" xfId="4228"/>
    <cellStyle name="Percent 16 13 3" xfId="24718"/>
    <cellStyle name="Percent 16 13_Forecast" xfId="24719"/>
    <cellStyle name="Percent 16 14" xfId="4229"/>
    <cellStyle name="Percent 16 14 2" xfId="4230"/>
    <cellStyle name="Percent 16 14_Note Calc" xfId="27768"/>
    <cellStyle name="Percent 16 15" xfId="4231"/>
    <cellStyle name="Percent 16 15 2" xfId="4232"/>
    <cellStyle name="Percent 16 15_Note Calc" xfId="27769"/>
    <cellStyle name="Percent 16 16" xfId="4233"/>
    <cellStyle name="Percent 16 16 2" xfId="4234"/>
    <cellStyle name="Percent 16 16_Note Calc" xfId="27770"/>
    <cellStyle name="Percent 16 17" xfId="4235"/>
    <cellStyle name="Percent 16 17 2" xfId="4236"/>
    <cellStyle name="Percent 16 17_Note Calc" xfId="27771"/>
    <cellStyle name="Percent 16 18" xfId="4237"/>
    <cellStyle name="Percent 16 18 2" xfId="4238"/>
    <cellStyle name="Percent 16 18_Note Calc" xfId="27772"/>
    <cellStyle name="Percent 16 19" xfId="4239"/>
    <cellStyle name="Percent 16 19 2" xfId="4240"/>
    <cellStyle name="Percent 16 19_Note Calc" xfId="27773"/>
    <cellStyle name="Percent 16 2" xfId="4241"/>
    <cellStyle name="Percent 16 2 10" xfId="4242"/>
    <cellStyle name="Percent 16 2 10 2" xfId="4243"/>
    <cellStyle name="Percent 16 2 10 3" xfId="24720"/>
    <cellStyle name="Percent 16 2 10_Forecast" xfId="24721"/>
    <cellStyle name="Percent 16 2 11" xfId="4244"/>
    <cellStyle name="Percent 16 2 11 2" xfId="4245"/>
    <cellStyle name="Percent 16 2 11_Note Calc" xfId="27774"/>
    <cellStyle name="Percent 16 2 12" xfId="4246"/>
    <cellStyle name="Percent 16 2 12 2" xfId="4247"/>
    <cellStyle name="Percent 16 2 12_Note Calc" xfId="27775"/>
    <cellStyle name="Percent 16 2 13" xfId="4248"/>
    <cellStyle name="Percent 16 2 13 2" xfId="4249"/>
    <cellStyle name="Percent 16 2 13_Note Calc" xfId="27776"/>
    <cellStyle name="Percent 16 2 14" xfId="4250"/>
    <cellStyle name="Percent 16 2 14 2" xfId="4251"/>
    <cellStyle name="Percent 16 2 14_Note Calc" xfId="27777"/>
    <cellStyle name="Percent 16 2 15" xfId="4252"/>
    <cellStyle name="Percent 16 2 15 2" xfId="4253"/>
    <cellStyle name="Percent 16 2 15_Note Calc" xfId="27778"/>
    <cellStyle name="Percent 16 2 16" xfId="4254"/>
    <cellStyle name="Percent 16 2 16 2" xfId="4255"/>
    <cellStyle name="Percent 16 2 16_Note Calc" xfId="27779"/>
    <cellStyle name="Percent 16 2 17" xfId="4256"/>
    <cellStyle name="Percent 16 2 17 2" xfId="4257"/>
    <cellStyle name="Percent 16 2 17_Note Calc" xfId="27780"/>
    <cellStyle name="Percent 16 2 18" xfId="4258"/>
    <cellStyle name="Percent 16 2 18 2" xfId="4259"/>
    <cellStyle name="Percent 16 2 18_Note Calc" xfId="27781"/>
    <cellStyle name="Percent 16 2 19" xfId="4260"/>
    <cellStyle name="Percent 16 2 19 2" xfId="4261"/>
    <cellStyle name="Percent 16 2 19_Note Calc" xfId="27782"/>
    <cellStyle name="Percent 16 2 2" xfId="4262"/>
    <cellStyle name="Percent 16 2 2 2" xfId="4263"/>
    <cellStyle name="Percent 16 2 2 3" xfId="24722"/>
    <cellStyle name="Percent 16 2 2_Forecast" xfId="24723"/>
    <cellStyle name="Percent 16 2 20" xfId="4264"/>
    <cellStyle name="Percent 16 2 20 2" xfId="4265"/>
    <cellStyle name="Percent 16 2 20_Note Calc" xfId="27783"/>
    <cellStyle name="Percent 16 2 21" xfId="4266"/>
    <cellStyle name="Percent 16 2 21 2" xfId="4267"/>
    <cellStyle name="Percent 16 2 21_Note Calc" xfId="27784"/>
    <cellStyle name="Percent 16 2 22" xfId="4268"/>
    <cellStyle name="Percent 16 2 22 2" xfId="4269"/>
    <cellStyle name="Percent 16 2 22_Note Calc" xfId="27785"/>
    <cellStyle name="Percent 16 2 23" xfId="4270"/>
    <cellStyle name="Percent 16 2 23 2" xfId="4271"/>
    <cellStyle name="Percent 16 2 23_Note Calc" xfId="27786"/>
    <cellStyle name="Percent 16 2 24" xfId="4272"/>
    <cellStyle name="Percent 16 2 24 2" xfId="4273"/>
    <cellStyle name="Percent 16 2 24_Note Calc" xfId="27787"/>
    <cellStyle name="Percent 16 2 25" xfId="4274"/>
    <cellStyle name="Percent 16 2 25 2" xfId="4275"/>
    <cellStyle name="Percent 16 2 25_Note Calc" xfId="27788"/>
    <cellStyle name="Percent 16 2 26" xfId="4276"/>
    <cellStyle name="Percent 16 2 26 2" xfId="4277"/>
    <cellStyle name="Percent 16 2 26_Note Calc" xfId="27789"/>
    <cellStyle name="Percent 16 2 27" xfId="4278"/>
    <cellStyle name="Percent 16 2 27 2" xfId="4279"/>
    <cellStyle name="Percent 16 2 27_Note Calc" xfId="27790"/>
    <cellStyle name="Percent 16 2 28" xfId="4280"/>
    <cellStyle name="Percent 16 2 28 2" xfId="4281"/>
    <cellStyle name="Percent 16 2 28_Note Calc" xfId="27791"/>
    <cellStyle name="Percent 16 2 29" xfId="4282"/>
    <cellStyle name="Percent 16 2 3" xfId="4283"/>
    <cellStyle name="Percent 16 2 3 2" xfId="4284"/>
    <cellStyle name="Percent 16 2 3 3" xfId="24724"/>
    <cellStyle name="Percent 16 2 3_Forecast" xfId="24725"/>
    <cellStyle name="Percent 16 2 30" xfId="4285"/>
    <cellStyle name="Percent 16 2 31" xfId="24726"/>
    <cellStyle name="Percent 16 2 4" xfId="4286"/>
    <cellStyle name="Percent 16 2 4 2" xfId="4287"/>
    <cellStyle name="Percent 16 2 4 3" xfId="24727"/>
    <cellStyle name="Percent 16 2 4_Forecast" xfId="24728"/>
    <cellStyle name="Percent 16 2 5" xfId="4288"/>
    <cellStyle name="Percent 16 2 5 2" xfId="4289"/>
    <cellStyle name="Percent 16 2 5 3" xfId="24729"/>
    <cellStyle name="Percent 16 2 5_Forecast" xfId="24730"/>
    <cellStyle name="Percent 16 2 6" xfId="4290"/>
    <cellStyle name="Percent 16 2 6 2" xfId="4291"/>
    <cellStyle name="Percent 16 2 6 3" xfId="24731"/>
    <cellStyle name="Percent 16 2 6_Forecast" xfId="24732"/>
    <cellStyle name="Percent 16 2 7" xfId="4292"/>
    <cellStyle name="Percent 16 2 7 2" xfId="4293"/>
    <cellStyle name="Percent 16 2 7 3" xfId="24733"/>
    <cellStyle name="Percent 16 2 7_Forecast" xfId="24734"/>
    <cellStyle name="Percent 16 2 8" xfId="4294"/>
    <cellStyle name="Percent 16 2 8 2" xfId="4295"/>
    <cellStyle name="Percent 16 2 8 3" xfId="24735"/>
    <cellStyle name="Percent 16 2 8_Forecast" xfId="24736"/>
    <cellStyle name="Percent 16 2 9" xfId="4296"/>
    <cellStyle name="Percent 16 2 9 2" xfId="4297"/>
    <cellStyle name="Percent 16 2 9 3" xfId="24737"/>
    <cellStyle name="Percent 16 2 9_Forecast" xfId="24738"/>
    <cellStyle name="Percent 16 2_Forecast" xfId="24739"/>
    <cellStyle name="Percent 16 20" xfId="4298"/>
    <cellStyle name="Percent 16 20 2" xfId="4299"/>
    <cellStyle name="Percent 16 20_Note Calc" xfId="27792"/>
    <cellStyle name="Percent 16 21" xfId="4300"/>
    <cellStyle name="Percent 16 21 2" xfId="4301"/>
    <cellStyle name="Percent 16 21_Note Calc" xfId="27793"/>
    <cellStyle name="Percent 16 22" xfId="4302"/>
    <cellStyle name="Percent 16 22 2" xfId="4303"/>
    <cellStyle name="Percent 16 22_Note Calc" xfId="27794"/>
    <cellStyle name="Percent 16 23" xfId="4304"/>
    <cellStyle name="Percent 16 23 2" xfId="4305"/>
    <cellStyle name="Percent 16 23_Note Calc" xfId="27795"/>
    <cellStyle name="Percent 16 24" xfId="4306"/>
    <cellStyle name="Percent 16 24 2" xfId="4307"/>
    <cellStyle name="Percent 16 24_Note Calc" xfId="27796"/>
    <cellStyle name="Percent 16 25" xfId="4308"/>
    <cellStyle name="Percent 16 25 2" xfId="4309"/>
    <cellStyle name="Percent 16 25_Note Calc" xfId="27797"/>
    <cellStyle name="Percent 16 26" xfId="4310"/>
    <cellStyle name="Percent 16 26 2" xfId="4311"/>
    <cellStyle name="Percent 16 26_Note Calc" xfId="27798"/>
    <cellStyle name="Percent 16 27" xfId="4312"/>
    <cellStyle name="Percent 16 27 2" xfId="4313"/>
    <cellStyle name="Percent 16 27_Note Calc" xfId="27799"/>
    <cellStyle name="Percent 16 28" xfId="4314"/>
    <cellStyle name="Percent 16 28 2" xfId="4315"/>
    <cellStyle name="Percent 16 28_Note Calc" xfId="27800"/>
    <cellStyle name="Percent 16 29" xfId="4316"/>
    <cellStyle name="Percent 16 29 2" xfId="4317"/>
    <cellStyle name="Percent 16 29_Note Calc" xfId="27801"/>
    <cellStyle name="Percent 16 3" xfId="4318"/>
    <cellStyle name="Percent 16 3 10" xfId="4319"/>
    <cellStyle name="Percent 16 3 10 2" xfId="4320"/>
    <cellStyle name="Percent 16 3 10 3" xfId="24740"/>
    <cellStyle name="Percent 16 3 10_Forecast" xfId="24741"/>
    <cellStyle name="Percent 16 3 11" xfId="4321"/>
    <cellStyle name="Percent 16 3 11 2" xfId="4322"/>
    <cellStyle name="Percent 16 3 11_Note Calc" xfId="27802"/>
    <cellStyle name="Percent 16 3 12" xfId="4323"/>
    <cellStyle name="Percent 16 3 12 2" xfId="4324"/>
    <cellStyle name="Percent 16 3 12_Note Calc" xfId="27803"/>
    <cellStyle name="Percent 16 3 13" xfId="4325"/>
    <cellStyle name="Percent 16 3 13 2" xfId="4326"/>
    <cellStyle name="Percent 16 3 13_Note Calc" xfId="27804"/>
    <cellStyle name="Percent 16 3 14" xfId="4327"/>
    <cellStyle name="Percent 16 3 14 2" xfId="4328"/>
    <cellStyle name="Percent 16 3 14_Note Calc" xfId="27805"/>
    <cellStyle name="Percent 16 3 15" xfId="4329"/>
    <cellStyle name="Percent 16 3 15 2" xfId="4330"/>
    <cellStyle name="Percent 16 3 15_Note Calc" xfId="27806"/>
    <cellStyle name="Percent 16 3 16" xfId="4331"/>
    <cellStyle name="Percent 16 3 16 2" xfId="4332"/>
    <cellStyle name="Percent 16 3 16_Note Calc" xfId="27807"/>
    <cellStyle name="Percent 16 3 17" xfId="4333"/>
    <cellStyle name="Percent 16 3 17 2" xfId="4334"/>
    <cellStyle name="Percent 16 3 17_Note Calc" xfId="27808"/>
    <cellStyle name="Percent 16 3 18" xfId="4335"/>
    <cellStyle name="Percent 16 3 18 2" xfId="4336"/>
    <cellStyle name="Percent 16 3 18_Note Calc" xfId="27809"/>
    <cellStyle name="Percent 16 3 19" xfId="4337"/>
    <cellStyle name="Percent 16 3 19 2" xfId="4338"/>
    <cellStyle name="Percent 16 3 19_Note Calc" xfId="27810"/>
    <cellStyle name="Percent 16 3 2" xfId="4339"/>
    <cellStyle name="Percent 16 3 2 2" xfId="4340"/>
    <cellStyle name="Percent 16 3 2 3" xfId="24742"/>
    <cellStyle name="Percent 16 3 2_Forecast" xfId="24743"/>
    <cellStyle name="Percent 16 3 20" xfId="4341"/>
    <cellStyle name="Percent 16 3 20 2" xfId="4342"/>
    <cellStyle name="Percent 16 3 20_Note Calc" xfId="27811"/>
    <cellStyle name="Percent 16 3 21" xfId="4343"/>
    <cellStyle name="Percent 16 3 21 2" xfId="4344"/>
    <cellStyle name="Percent 16 3 21_Note Calc" xfId="27812"/>
    <cellStyle name="Percent 16 3 22" xfId="4345"/>
    <cellStyle name="Percent 16 3 22 2" xfId="4346"/>
    <cellStyle name="Percent 16 3 22_Note Calc" xfId="27813"/>
    <cellStyle name="Percent 16 3 23" xfId="4347"/>
    <cellStyle name="Percent 16 3 23 2" xfId="4348"/>
    <cellStyle name="Percent 16 3 23_Note Calc" xfId="27814"/>
    <cellStyle name="Percent 16 3 24" xfId="4349"/>
    <cellStyle name="Percent 16 3 24 2" xfId="4350"/>
    <cellStyle name="Percent 16 3 24_Note Calc" xfId="27815"/>
    <cellStyle name="Percent 16 3 25" xfId="4351"/>
    <cellStyle name="Percent 16 3 25 2" xfId="4352"/>
    <cellStyle name="Percent 16 3 25_Note Calc" xfId="27816"/>
    <cellStyle name="Percent 16 3 26" xfId="4353"/>
    <cellStyle name="Percent 16 3 26 2" xfId="4354"/>
    <cellStyle name="Percent 16 3 26_Note Calc" xfId="27817"/>
    <cellStyle name="Percent 16 3 27" xfId="4355"/>
    <cellStyle name="Percent 16 3 27 2" xfId="4356"/>
    <cellStyle name="Percent 16 3 27_Note Calc" xfId="27818"/>
    <cellStyle name="Percent 16 3 28" xfId="4357"/>
    <cellStyle name="Percent 16 3 28 2" xfId="4358"/>
    <cellStyle name="Percent 16 3 28_Note Calc" xfId="27819"/>
    <cellStyle name="Percent 16 3 29" xfId="4359"/>
    <cellStyle name="Percent 16 3 3" xfId="4360"/>
    <cellStyle name="Percent 16 3 3 2" xfId="4361"/>
    <cellStyle name="Percent 16 3 3 3" xfId="24744"/>
    <cellStyle name="Percent 16 3 3_Forecast" xfId="24745"/>
    <cellStyle name="Percent 16 3 30" xfId="4362"/>
    <cellStyle name="Percent 16 3 31" xfId="24746"/>
    <cellStyle name="Percent 16 3 4" xfId="4363"/>
    <cellStyle name="Percent 16 3 4 2" xfId="4364"/>
    <cellStyle name="Percent 16 3 4 3" xfId="24747"/>
    <cellStyle name="Percent 16 3 4_Forecast" xfId="24748"/>
    <cellStyle name="Percent 16 3 5" xfId="4365"/>
    <cellStyle name="Percent 16 3 5 2" xfId="4366"/>
    <cellStyle name="Percent 16 3 5 3" xfId="24749"/>
    <cellStyle name="Percent 16 3 5_Forecast" xfId="24750"/>
    <cellStyle name="Percent 16 3 6" xfId="4367"/>
    <cellStyle name="Percent 16 3 6 2" xfId="4368"/>
    <cellStyle name="Percent 16 3 6 3" xfId="24751"/>
    <cellStyle name="Percent 16 3 6_Forecast" xfId="24752"/>
    <cellStyle name="Percent 16 3 7" xfId="4369"/>
    <cellStyle name="Percent 16 3 7 2" xfId="4370"/>
    <cellStyle name="Percent 16 3 7 3" xfId="24753"/>
    <cellStyle name="Percent 16 3 7_Forecast" xfId="24754"/>
    <cellStyle name="Percent 16 3 8" xfId="4371"/>
    <cellStyle name="Percent 16 3 8 2" xfId="4372"/>
    <cellStyle name="Percent 16 3 8 3" xfId="24755"/>
    <cellStyle name="Percent 16 3 8_Forecast" xfId="24756"/>
    <cellStyle name="Percent 16 3 9" xfId="4373"/>
    <cellStyle name="Percent 16 3 9 2" xfId="4374"/>
    <cellStyle name="Percent 16 3 9 3" xfId="24757"/>
    <cellStyle name="Percent 16 3 9_Forecast" xfId="24758"/>
    <cellStyle name="Percent 16 3_Forecast" xfId="24759"/>
    <cellStyle name="Percent 16 30" xfId="4375"/>
    <cellStyle name="Percent 16 30 2" xfId="4376"/>
    <cellStyle name="Percent 16 30_Note Calc" xfId="27820"/>
    <cellStyle name="Percent 16 31" xfId="4377"/>
    <cellStyle name="Percent 16 31 2" xfId="4378"/>
    <cellStyle name="Percent 16 31_Note Calc" xfId="27821"/>
    <cellStyle name="Percent 16 32" xfId="4379"/>
    <cellStyle name="Percent 16 33" xfId="4380"/>
    <cellStyle name="Percent 16 34" xfId="24760"/>
    <cellStyle name="Percent 16 4" xfId="4381"/>
    <cellStyle name="Percent 16 4 10" xfId="4382"/>
    <cellStyle name="Percent 16 4 10 2" xfId="4383"/>
    <cellStyle name="Percent 16 4 10 3" xfId="24761"/>
    <cellStyle name="Percent 16 4 10_Forecast" xfId="24762"/>
    <cellStyle name="Percent 16 4 11" xfId="4384"/>
    <cellStyle name="Percent 16 4 11 2" xfId="4385"/>
    <cellStyle name="Percent 16 4 11_Note Calc" xfId="27822"/>
    <cellStyle name="Percent 16 4 12" xfId="4386"/>
    <cellStyle name="Percent 16 4 12 2" xfId="4387"/>
    <cellStyle name="Percent 16 4 12_Note Calc" xfId="27823"/>
    <cellStyle name="Percent 16 4 13" xfId="4388"/>
    <cellStyle name="Percent 16 4 13 2" xfId="4389"/>
    <cellStyle name="Percent 16 4 13_Note Calc" xfId="27824"/>
    <cellStyle name="Percent 16 4 14" xfId="4390"/>
    <cellStyle name="Percent 16 4 14 2" xfId="4391"/>
    <cellStyle name="Percent 16 4 14_Note Calc" xfId="27825"/>
    <cellStyle name="Percent 16 4 15" xfId="4392"/>
    <cellStyle name="Percent 16 4 15 2" xfId="4393"/>
    <cellStyle name="Percent 16 4 15_Note Calc" xfId="27826"/>
    <cellStyle name="Percent 16 4 16" xfId="4394"/>
    <cellStyle name="Percent 16 4 16 2" xfId="4395"/>
    <cellStyle name="Percent 16 4 16_Note Calc" xfId="27827"/>
    <cellStyle name="Percent 16 4 17" xfId="4396"/>
    <cellStyle name="Percent 16 4 17 2" xfId="4397"/>
    <cellStyle name="Percent 16 4 17_Note Calc" xfId="27828"/>
    <cellStyle name="Percent 16 4 18" xfId="4398"/>
    <cellStyle name="Percent 16 4 18 2" xfId="4399"/>
    <cellStyle name="Percent 16 4 18_Note Calc" xfId="27829"/>
    <cellStyle name="Percent 16 4 19" xfId="4400"/>
    <cellStyle name="Percent 16 4 19 2" xfId="4401"/>
    <cellStyle name="Percent 16 4 19_Note Calc" xfId="27830"/>
    <cellStyle name="Percent 16 4 2" xfId="4402"/>
    <cellStyle name="Percent 16 4 2 2" xfId="4403"/>
    <cellStyle name="Percent 16 4 2 3" xfId="24763"/>
    <cellStyle name="Percent 16 4 2_Forecast" xfId="24764"/>
    <cellStyle name="Percent 16 4 20" xfId="4404"/>
    <cellStyle name="Percent 16 4 20 2" xfId="4405"/>
    <cellStyle name="Percent 16 4 20_Note Calc" xfId="27831"/>
    <cellStyle name="Percent 16 4 21" xfId="4406"/>
    <cellStyle name="Percent 16 4 21 2" xfId="4407"/>
    <cellStyle name="Percent 16 4 21_Note Calc" xfId="27832"/>
    <cellStyle name="Percent 16 4 22" xfId="4408"/>
    <cellStyle name="Percent 16 4 22 2" xfId="4409"/>
    <cellStyle name="Percent 16 4 22_Note Calc" xfId="27833"/>
    <cellStyle name="Percent 16 4 23" xfId="4410"/>
    <cellStyle name="Percent 16 4 23 2" xfId="4411"/>
    <cellStyle name="Percent 16 4 23_Note Calc" xfId="27834"/>
    <cellStyle name="Percent 16 4 24" xfId="4412"/>
    <cellStyle name="Percent 16 4 24 2" xfId="4413"/>
    <cellStyle name="Percent 16 4 24_Note Calc" xfId="27835"/>
    <cellStyle name="Percent 16 4 25" xfId="4414"/>
    <cellStyle name="Percent 16 4 25 2" xfId="4415"/>
    <cellStyle name="Percent 16 4 25_Note Calc" xfId="27836"/>
    <cellStyle name="Percent 16 4 26" xfId="4416"/>
    <cellStyle name="Percent 16 4 26 2" xfId="4417"/>
    <cellStyle name="Percent 16 4 26_Note Calc" xfId="27837"/>
    <cellStyle name="Percent 16 4 27" xfId="4418"/>
    <cellStyle name="Percent 16 4 27 2" xfId="4419"/>
    <cellStyle name="Percent 16 4 27_Note Calc" xfId="27838"/>
    <cellStyle name="Percent 16 4 28" xfId="4420"/>
    <cellStyle name="Percent 16 4 28 2" xfId="4421"/>
    <cellStyle name="Percent 16 4 28_Note Calc" xfId="27839"/>
    <cellStyle name="Percent 16 4 29" xfId="4422"/>
    <cellStyle name="Percent 16 4 3" xfId="4423"/>
    <cellStyle name="Percent 16 4 3 2" xfId="4424"/>
    <cellStyle name="Percent 16 4 3 3" xfId="24765"/>
    <cellStyle name="Percent 16 4 3_Forecast" xfId="24766"/>
    <cellStyle name="Percent 16 4 30" xfId="4425"/>
    <cellStyle name="Percent 16 4 31" xfId="24767"/>
    <cellStyle name="Percent 16 4 4" xfId="4426"/>
    <cellStyle name="Percent 16 4 4 2" xfId="4427"/>
    <cellStyle name="Percent 16 4 4 3" xfId="24768"/>
    <cellStyle name="Percent 16 4 4_Forecast" xfId="24769"/>
    <cellStyle name="Percent 16 4 5" xfId="4428"/>
    <cellStyle name="Percent 16 4 5 2" xfId="4429"/>
    <cellStyle name="Percent 16 4 5 3" xfId="24770"/>
    <cellStyle name="Percent 16 4 5_Forecast" xfId="24771"/>
    <cellStyle name="Percent 16 4 6" xfId="4430"/>
    <cellStyle name="Percent 16 4 6 2" xfId="4431"/>
    <cellStyle name="Percent 16 4 6 3" xfId="24772"/>
    <cellStyle name="Percent 16 4 6_Forecast" xfId="24773"/>
    <cellStyle name="Percent 16 4 7" xfId="4432"/>
    <cellStyle name="Percent 16 4 7 2" xfId="4433"/>
    <cellStyle name="Percent 16 4 7 3" xfId="24774"/>
    <cellStyle name="Percent 16 4 7_Forecast" xfId="24775"/>
    <cellStyle name="Percent 16 4 8" xfId="4434"/>
    <cellStyle name="Percent 16 4 8 2" xfId="4435"/>
    <cellStyle name="Percent 16 4 8 3" xfId="24776"/>
    <cellStyle name="Percent 16 4 8_Forecast" xfId="24777"/>
    <cellStyle name="Percent 16 4 9" xfId="4436"/>
    <cellStyle name="Percent 16 4 9 2" xfId="4437"/>
    <cellStyle name="Percent 16 4 9 3" xfId="24778"/>
    <cellStyle name="Percent 16 4 9_Forecast" xfId="24779"/>
    <cellStyle name="Percent 16 4_Forecast" xfId="24780"/>
    <cellStyle name="Percent 16 5" xfId="4438"/>
    <cellStyle name="Percent 16 5 2" xfId="4439"/>
    <cellStyle name="Percent 16 5 3" xfId="24781"/>
    <cellStyle name="Percent 16 5_Forecast" xfId="24782"/>
    <cellStyle name="Percent 16 6" xfId="4440"/>
    <cellStyle name="Percent 16 6 2" xfId="4441"/>
    <cellStyle name="Percent 16 6 3" xfId="24783"/>
    <cellStyle name="Percent 16 6_Forecast" xfId="24784"/>
    <cellStyle name="Percent 16 7" xfId="4442"/>
    <cellStyle name="Percent 16 7 2" xfId="4443"/>
    <cellStyle name="Percent 16 7 3" xfId="24785"/>
    <cellStyle name="Percent 16 7_Forecast" xfId="24786"/>
    <cellStyle name="Percent 16 8" xfId="4444"/>
    <cellStyle name="Percent 16 8 2" xfId="4445"/>
    <cellStyle name="Percent 16 8 3" xfId="24787"/>
    <cellStyle name="Percent 16 8_Forecast" xfId="24788"/>
    <cellStyle name="Percent 16 9" xfId="4446"/>
    <cellStyle name="Percent 16 9 2" xfId="4447"/>
    <cellStyle name="Percent 16 9 3" xfId="24789"/>
    <cellStyle name="Percent 16 9_Forecast" xfId="24790"/>
    <cellStyle name="Percent 16_Forecast" xfId="24791"/>
    <cellStyle name="Percent 17" xfId="4448"/>
    <cellStyle name="Percent 17 10" xfId="4449"/>
    <cellStyle name="Percent 17 10 2" xfId="4450"/>
    <cellStyle name="Percent 17 10 3" xfId="24792"/>
    <cellStyle name="Percent 17 10_Forecast" xfId="24793"/>
    <cellStyle name="Percent 17 11" xfId="4451"/>
    <cellStyle name="Percent 17 11 2" xfId="4452"/>
    <cellStyle name="Percent 17 11 3" xfId="24794"/>
    <cellStyle name="Percent 17 11_Forecast" xfId="24795"/>
    <cellStyle name="Percent 17 12" xfId="4453"/>
    <cellStyle name="Percent 17 12 2" xfId="4454"/>
    <cellStyle name="Percent 17 12 3" xfId="24796"/>
    <cellStyle name="Percent 17 12_Forecast" xfId="24797"/>
    <cellStyle name="Percent 17 13" xfId="4455"/>
    <cellStyle name="Percent 17 13 2" xfId="4456"/>
    <cellStyle name="Percent 17 13 3" xfId="24798"/>
    <cellStyle name="Percent 17 13_Forecast" xfId="24799"/>
    <cellStyle name="Percent 17 14" xfId="4457"/>
    <cellStyle name="Percent 17 14 2" xfId="4458"/>
    <cellStyle name="Percent 17 14_Note Calc" xfId="27840"/>
    <cellStyle name="Percent 17 15" xfId="4459"/>
    <cellStyle name="Percent 17 15 2" xfId="4460"/>
    <cellStyle name="Percent 17 15_Note Calc" xfId="27841"/>
    <cellStyle name="Percent 17 16" xfId="4461"/>
    <cellStyle name="Percent 17 16 2" xfId="4462"/>
    <cellStyle name="Percent 17 16_Note Calc" xfId="27842"/>
    <cellStyle name="Percent 17 17" xfId="4463"/>
    <cellStyle name="Percent 17 17 2" xfId="4464"/>
    <cellStyle name="Percent 17 17_Note Calc" xfId="27843"/>
    <cellStyle name="Percent 17 18" xfId="4465"/>
    <cellStyle name="Percent 17 18 2" xfId="4466"/>
    <cellStyle name="Percent 17 18_Note Calc" xfId="27844"/>
    <cellStyle name="Percent 17 19" xfId="4467"/>
    <cellStyle name="Percent 17 19 2" xfId="4468"/>
    <cellStyle name="Percent 17 19_Note Calc" xfId="27845"/>
    <cellStyle name="Percent 17 2" xfId="4469"/>
    <cellStyle name="Percent 17 2 10" xfId="4470"/>
    <cellStyle name="Percent 17 2 10 2" xfId="4471"/>
    <cellStyle name="Percent 17 2 10 3" xfId="24800"/>
    <cellStyle name="Percent 17 2 10_Forecast" xfId="24801"/>
    <cellStyle name="Percent 17 2 11" xfId="4472"/>
    <cellStyle name="Percent 17 2 11 2" xfId="4473"/>
    <cellStyle name="Percent 17 2 11_Note Calc" xfId="27846"/>
    <cellStyle name="Percent 17 2 12" xfId="4474"/>
    <cellStyle name="Percent 17 2 12 2" xfId="4475"/>
    <cellStyle name="Percent 17 2 12_Note Calc" xfId="27847"/>
    <cellStyle name="Percent 17 2 13" xfId="4476"/>
    <cellStyle name="Percent 17 2 13 2" xfId="4477"/>
    <cellStyle name="Percent 17 2 13_Note Calc" xfId="27848"/>
    <cellStyle name="Percent 17 2 14" xfId="4478"/>
    <cellStyle name="Percent 17 2 14 2" xfId="4479"/>
    <cellStyle name="Percent 17 2 14_Note Calc" xfId="27849"/>
    <cellStyle name="Percent 17 2 15" xfId="4480"/>
    <cellStyle name="Percent 17 2 15 2" xfId="4481"/>
    <cellStyle name="Percent 17 2 15_Note Calc" xfId="27850"/>
    <cellStyle name="Percent 17 2 16" xfId="4482"/>
    <cellStyle name="Percent 17 2 16 2" xfId="4483"/>
    <cellStyle name="Percent 17 2 16_Note Calc" xfId="27851"/>
    <cellStyle name="Percent 17 2 17" xfId="4484"/>
    <cellStyle name="Percent 17 2 17 2" xfId="4485"/>
    <cellStyle name="Percent 17 2 17_Note Calc" xfId="27852"/>
    <cellStyle name="Percent 17 2 18" xfId="4486"/>
    <cellStyle name="Percent 17 2 18 2" xfId="4487"/>
    <cellStyle name="Percent 17 2 18_Note Calc" xfId="27853"/>
    <cellStyle name="Percent 17 2 19" xfId="4488"/>
    <cellStyle name="Percent 17 2 19 2" xfId="4489"/>
    <cellStyle name="Percent 17 2 19_Note Calc" xfId="27854"/>
    <cellStyle name="Percent 17 2 2" xfId="4490"/>
    <cellStyle name="Percent 17 2 2 2" xfId="4491"/>
    <cellStyle name="Percent 17 2 2 3" xfId="24802"/>
    <cellStyle name="Percent 17 2 2_Forecast" xfId="24803"/>
    <cellStyle name="Percent 17 2 20" xfId="4492"/>
    <cellStyle name="Percent 17 2 20 2" xfId="4493"/>
    <cellStyle name="Percent 17 2 20_Note Calc" xfId="27855"/>
    <cellStyle name="Percent 17 2 21" xfId="4494"/>
    <cellStyle name="Percent 17 2 21 2" xfId="4495"/>
    <cellStyle name="Percent 17 2 21_Note Calc" xfId="27856"/>
    <cellStyle name="Percent 17 2 22" xfId="4496"/>
    <cellStyle name="Percent 17 2 22 2" xfId="4497"/>
    <cellStyle name="Percent 17 2 22_Note Calc" xfId="27857"/>
    <cellStyle name="Percent 17 2 23" xfId="4498"/>
    <cellStyle name="Percent 17 2 23 2" xfId="4499"/>
    <cellStyle name="Percent 17 2 23_Note Calc" xfId="27858"/>
    <cellStyle name="Percent 17 2 24" xfId="4500"/>
    <cellStyle name="Percent 17 2 24 2" xfId="4501"/>
    <cellStyle name="Percent 17 2 24_Note Calc" xfId="27859"/>
    <cellStyle name="Percent 17 2 25" xfId="4502"/>
    <cellStyle name="Percent 17 2 25 2" xfId="4503"/>
    <cellStyle name="Percent 17 2 25_Note Calc" xfId="27860"/>
    <cellStyle name="Percent 17 2 26" xfId="4504"/>
    <cellStyle name="Percent 17 2 26 2" xfId="4505"/>
    <cellStyle name="Percent 17 2 26_Note Calc" xfId="27861"/>
    <cellStyle name="Percent 17 2 27" xfId="4506"/>
    <cellStyle name="Percent 17 2 27 2" xfId="4507"/>
    <cellStyle name="Percent 17 2 27_Note Calc" xfId="27862"/>
    <cellStyle name="Percent 17 2 28" xfId="4508"/>
    <cellStyle name="Percent 17 2 28 2" xfId="4509"/>
    <cellStyle name="Percent 17 2 28_Note Calc" xfId="27863"/>
    <cellStyle name="Percent 17 2 29" xfId="4510"/>
    <cellStyle name="Percent 17 2 3" xfId="4511"/>
    <cellStyle name="Percent 17 2 3 2" xfId="4512"/>
    <cellStyle name="Percent 17 2 3 3" xfId="24804"/>
    <cellStyle name="Percent 17 2 3_Forecast" xfId="24805"/>
    <cellStyle name="Percent 17 2 30" xfId="4513"/>
    <cellStyle name="Percent 17 2 31" xfId="24806"/>
    <cellStyle name="Percent 17 2 4" xfId="4514"/>
    <cellStyle name="Percent 17 2 4 2" xfId="4515"/>
    <cellStyle name="Percent 17 2 4 3" xfId="24807"/>
    <cellStyle name="Percent 17 2 4_Forecast" xfId="24808"/>
    <cellStyle name="Percent 17 2 5" xfId="4516"/>
    <cellStyle name="Percent 17 2 5 2" xfId="4517"/>
    <cellStyle name="Percent 17 2 5 3" xfId="24809"/>
    <cellStyle name="Percent 17 2 5_Forecast" xfId="24810"/>
    <cellStyle name="Percent 17 2 6" xfId="4518"/>
    <cellStyle name="Percent 17 2 6 2" xfId="4519"/>
    <cellStyle name="Percent 17 2 6 3" xfId="24811"/>
    <cellStyle name="Percent 17 2 6_Forecast" xfId="24812"/>
    <cellStyle name="Percent 17 2 7" xfId="4520"/>
    <cellStyle name="Percent 17 2 7 2" xfId="4521"/>
    <cellStyle name="Percent 17 2 7 3" xfId="24813"/>
    <cellStyle name="Percent 17 2 7_Forecast" xfId="24814"/>
    <cellStyle name="Percent 17 2 8" xfId="4522"/>
    <cellStyle name="Percent 17 2 8 2" xfId="4523"/>
    <cellStyle name="Percent 17 2 8 3" xfId="24815"/>
    <cellStyle name="Percent 17 2 8_Forecast" xfId="24816"/>
    <cellStyle name="Percent 17 2 9" xfId="4524"/>
    <cellStyle name="Percent 17 2 9 2" xfId="4525"/>
    <cellStyle name="Percent 17 2 9 3" xfId="24817"/>
    <cellStyle name="Percent 17 2 9_Forecast" xfId="24818"/>
    <cellStyle name="Percent 17 2_Forecast" xfId="24819"/>
    <cellStyle name="Percent 17 20" xfId="4526"/>
    <cellStyle name="Percent 17 20 2" xfId="4527"/>
    <cellStyle name="Percent 17 20_Note Calc" xfId="27864"/>
    <cellStyle name="Percent 17 21" xfId="4528"/>
    <cellStyle name="Percent 17 21 2" xfId="4529"/>
    <cellStyle name="Percent 17 21_Note Calc" xfId="27865"/>
    <cellStyle name="Percent 17 22" xfId="4530"/>
    <cellStyle name="Percent 17 22 2" xfId="4531"/>
    <cellStyle name="Percent 17 22_Note Calc" xfId="27866"/>
    <cellStyle name="Percent 17 23" xfId="4532"/>
    <cellStyle name="Percent 17 23 2" xfId="4533"/>
    <cellStyle name="Percent 17 23_Note Calc" xfId="27867"/>
    <cellStyle name="Percent 17 24" xfId="4534"/>
    <cellStyle name="Percent 17 24 2" xfId="4535"/>
    <cellStyle name="Percent 17 24_Note Calc" xfId="27868"/>
    <cellStyle name="Percent 17 25" xfId="4536"/>
    <cellStyle name="Percent 17 25 2" xfId="4537"/>
    <cellStyle name="Percent 17 25_Note Calc" xfId="27869"/>
    <cellStyle name="Percent 17 26" xfId="4538"/>
    <cellStyle name="Percent 17 26 2" xfId="4539"/>
    <cellStyle name="Percent 17 26_Note Calc" xfId="27870"/>
    <cellStyle name="Percent 17 27" xfId="4540"/>
    <cellStyle name="Percent 17 27 2" xfId="4541"/>
    <cellStyle name="Percent 17 27_Note Calc" xfId="27871"/>
    <cellStyle name="Percent 17 28" xfId="4542"/>
    <cellStyle name="Percent 17 29" xfId="4543"/>
    <cellStyle name="Percent 17 3" xfId="4544"/>
    <cellStyle name="Percent 17 3 10" xfId="4545"/>
    <cellStyle name="Percent 17 3 10 2" xfId="24820"/>
    <cellStyle name="Percent 17 3 10_Forecast" xfId="24821"/>
    <cellStyle name="Percent 17 3 11" xfId="4546"/>
    <cellStyle name="Percent 17 3 12" xfId="4547"/>
    <cellStyle name="Percent 17 3 13" xfId="4548"/>
    <cellStyle name="Percent 17 3 14" xfId="4549"/>
    <cellStyle name="Percent 17 3 15" xfId="4550"/>
    <cellStyle name="Percent 17 3 16" xfId="4551"/>
    <cellStyle name="Percent 17 3 17" xfId="4552"/>
    <cellStyle name="Percent 17 3 18" xfId="4553"/>
    <cellStyle name="Percent 17 3 19" xfId="4554"/>
    <cellStyle name="Percent 17 3 2" xfId="4555"/>
    <cellStyle name="Percent 17 3 2 2" xfId="4556"/>
    <cellStyle name="Percent 17 3 2 3" xfId="24822"/>
    <cellStyle name="Percent 17 3 2_Forecast" xfId="24823"/>
    <cellStyle name="Percent 17 3 20" xfId="4557"/>
    <cellStyle name="Percent 17 3 21" xfId="4558"/>
    <cellStyle name="Percent 17 3 22" xfId="4559"/>
    <cellStyle name="Percent 17 3 23" xfId="4560"/>
    <cellStyle name="Percent 17 3 24" xfId="4561"/>
    <cellStyle name="Percent 17 3 25" xfId="4562"/>
    <cellStyle name="Percent 17 3 26" xfId="4563"/>
    <cellStyle name="Percent 17 3 27" xfId="4564"/>
    <cellStyle name="Percent 17 3 28" xfId="4565"/>
    <cellStyle name="Percent 17 3 29" xfId="4566"/>
    <cellStyle name="Percent 17 3 3" xfId="4567"/>
    <cellStyle name="Percent 17 3 3 2" xfId="4568"/>
    <cellStyle name="Percent 17 3 3 3" xfId="24824"/>
    <cellStyle name="Percent 17 3 3_Forecast" xfId="24825"/>
    <cellStyle name="Percent 17 3 30" xfId="24826"/>
    <cellStyle name="Percent 17 3 4" xfId="4569"/>
    <cellStyle name="Percent 17 3 4 2" xfId="4570"/>
    <cellStyle name="Percent 17 3 4 3" xfId="24827"/>
    <cellStyle name="Percent 17 3 4_Forecast" xfId="24828"/>
    <cellStyle name="Percent 17 3 5" xfId="4571"/>
    <cellStyle name="Percent 17 3 5 2" xfId="4572"/>
    <cellStyle name="Percent 17 3 5 3" xfId="24829"/>
    <cellStyle name="Percent 17 3 5_Forecast" xfId="24830"/>
    <cellStyle name="Percent 17 3 6" xfId="4573"/>
    <cellStyle name="Percent 17 3 6 2" xfId="4574"/>
    <cellStyle name="Percent 17 3 6 3" xfId="24831"/>
    <cellStyle name="Percent 17 3 6_Forecast" xfId="24832"/>
    <cellStyle name="Percent 17 3 7" xfId="4575"/>
    <cellStyle name="Percent 17 3 7 2" xfId="4576"/>
    <cellStyle name="Percent 17 3 7 3" xfId="24833"/>
    <cellStyle name="Percent 17 3 7_Forecast" xfId="24834"/>
    <cellStyle name="Percent 17 3 8" xfId="4577"/>
    <cellStyle name="Percent 17 3 8 2" xfId="24835"/>
    <cellStyle name="Percent 17 3 8_Forecast" xfId="24836"/>
    <cellStyle name="Percent 17 3 9" xfId="4578"/>
    <cellStyle name="Percent 17 3 9 2" xfId="24837"/>
    <cellStyle name="Percent 17 3 9_Forecast" xfId="24838"/>
    <cellStyle name="Percent 17 3_Forecast" xfId="24839"/>
    <cellStyle name="Percent 17 30" xfId="4579"/>
    <cellStyle name="Percent 17 31" xfId="4580"/>
    <cellStyle name="Percent 17 32" xfId="4581"/>
    <cellStyle name="Percent 17 33" xfId="4582"/>
    <cellStyle name="Percent 17 34" xfId="24840"/>
    <cellStyle name="Percent 17 4" xfId="4583"/>
    <cellStyle name="Percent 17 4 10" xfId="4584"/>
    <cellStyle name="Percent 17 4 10 2" xfId="24841"/>
    <cellStyle name="Percent 17 4 10_Forecast" xfId="24842"/>
    <cellStyle name="Percent 17 4 11" xfId="4585"/>
    <cellStyle name="Percent 17 4 12" xfId="4586"/>
    <cellStyle name="Percent 17 4 13" xfId="4587"/>
    <cellStyle name="Percent 17 4 14" xfId="4588"/>
    <cellStyle name="Percent 17 4 15" xfId="4589"/>
    <cellStyle name="Percent 17 4 16" xfId="4590"/>
    <cellStyle name="Percent 17 4 17" xfId="4591"/>
    <cellStyle name="Percent 17 4 18" xfId="4592"/>
    <cellStyle name="Percent 17 4 19" xfId="4593"/>
    <cellStyle name="Percent 17 4 2" xfId="4594"/>
    <cellStyle name="Percent 17 4 2 2" xfId="4595"/>
    <cellStyle name="Percent 17 4 2 3" xfId="24843"/>
    <cellStyle name="Percent 17 4 2_Forecast" xfId="24844"/>
    <cellStyle name="Percent 17 4 20" xfId="4596"/>
    <cellStyle name="Percent 17 4 21" xfId="4597"/>
    <cellStyle name="Percent 17 4 22" xfId="4598"/>
    <cellStyle name="Percent 17 4 23" xfId="4599"/>
    <cellStyle name="Percent 17 4 24" xfId="4600"/>
    <cellStyle name="Percent 17 4 25" xfId="4601"/>
    <cellStyle name="Percent 17 4 26" xfId="4602"/>
    <cellStyle name="Percent 17 4 27" xfId="4603"/>
    <cellStyle name="Percent 17 4 28" xfId="4604"/>
    <cellStyle name="Percent 17 4 29" xfId="4605"/>
    <cellStyle name="Percent 17 4 3" xfId="4606"/>
    <cellStyle name="Percent 17 4 3 2" xfId="4607"/>
    <cellStyle name="Percent 17 4 3 3" xfId="24845"/>
    <cellStyle name="Percent 17 4 3_Forecast" xfId="24846"/>
    <cellStyle name="Percent 17 4 30" xfId="24847"/>
    <cellStyle name="Percent 17 4 4" xfId="4608"/>
    <cellStyle name="Percent 17 4 4 2" xfId="4609"/>
    <cellStyle name="Percent 17 4 4 3" xfId="24848"/>
    <cellStyle name="Percent 17 4 4_Forecast" xfId="24849"/>
    <cellStyle name="Percent 17 4 5" xfId="4610"/>
    <cellStyle name="Percent 17 4 5 2" xfId="4611"/>
    <cellStyle name="Percent 17 4 5 3" xfId="24850"/>
    <cellStyle name="Percent 17 4 5_Forecast" xfId="24851"/>
    <cellStyle name="Percent 17 4 6" xfId="4612"/>
    <cellStyle name="Percent 17 4 6 2" xfId="4613"/>
    <cellStyle name="Percent 17 4 6 3" xfId="24852"/>
    <cellStyle name="Percent 17 4 6_Forecast" xfId="24853"/>
    <cellStyle name="Percent 17 4 7" xfId="4614"/>
    <cellStyle name="Percent 17 4 7 2" xfId="4615"/>
    <cellStyle name="Percent 17 4 7 3" xfId="24854"/>
    <cellStyle name="Percent 17 4 7_Forecast" xfId="24855"/>
    <cellStyle name="Percent 17 4 8" xfId="4616"/>
    <cellStyle name="Percent 17 4 8 2" xfId="24856"/>
    <cellStyle name="Percent 17 4 8_Forecast" xfId="24857"/>
    <cellStyle name="Percent 17 4 9" xfId="4617"/>
    <cellStyle name="Percent 17 4 9 2" xfId="24858"/>
    <cellStyle name="Percent 17 4 9_Forecast" xfId="24859"/>
    <cellStyle name="Percent 17 4_Forecast" xfId="24860"/>
    <cellStyle name="Percent 17 5" xfId="4618"/>
    <cellStyle name="Percent 17 5 2" xfId="4619"/>
    <cellStyle name="Percent 17 5 3" xfId="24861"/>
    <cellStyle name="Percent 17 5_Forecast" xfId="24862"/>
    <cellStyle name="Percent 17 6" xfId="4620"/>
    <cellStyle name="Percent 17 6 2" xfId="4621"/>
    <cellStyle name="Percent 17 6 3" xfId="24863"/>
    <cellStyle name="Percent 17 6_Forecast" xfId="24864"/>
    <cellStyle name="Percent 17 7" xfId="4622"/>
    <cellStyle name="Percent 17 7 2" xfId="4623"/>
    <cellStyle name="Percent 17 7 3" xfId="24865"/>
    <cellStyle name="Percent 17 7_Forecast" xfId="24866"/>
    <cellStyle name="Percent 17 8" xfId="4624"/>
    <cellStyle name="Percent 17 8 2" xfId="4625"/>
    <cellStyle name="Percent 17 8 3" xfId="24867"/>
    <cellStyle name="Percent 17 8_Forecast" xfId="24868"/>
    <cellStyle name="Percent 17 9" xfId="4626"/>
    <cellStyle name="Percent 17 9 2" xfId="4627"/>
    <cellStyle name="Percent 17 9 3" xfId="24869"/>
    <cellStyle name="Percent 17 9_Forecast" xfId="24870"/>
    <cellStyle name="Percent 17_Forecast" xfId="24871"/>
    <cellStyle name="Percent 18" xfId="4628"/>
    <cellStyle name="Percent 18 10" xfId="4629"/>
    <cellStyle name="Percent 18 10 2" xfId="24872"/>
    <cellStyle name="Percent 18 10_Forecast" xfId="24873"/>
    <cellStyle name="Percent 18 11" xfId="4630"/>
    <cellStyle name="Percent 18 12" xfId="4631"/>
    <cellStyle name="Percent 18 13" xfId="4632"/>
    <cellStyle name="Percent 18 14" xfId="4633"/>
    <cellStyle name="Percent 18 15" xfId="4634"/>
    <cellStyle name="Percent 18 16" xfId="4635"/>
    <cellStyle name="Percent 18 17" xfId="4636"/>
    <cellStyle name="Percent 18 18" xfId="4637"/>
    <cellStyle name="Percent 18 19" xfId="4638"/>
    <cellStyle name="Percent 18 2" xfId="4639"/>
    <cellStyle name="Percent 18 2 2" xfId="4640"/>
    <cellStyle name="Percent 18 2 3" xfId="24874"/>
    <cellStyle name="Percent 18 2_Forecast" xfId="24875"/>
    <cellStyle name="Percent 18 20" xfId="4641"/>
    <cellStyle name="Percent 18 21" xfId="4642"/>
    <cellStyle name="Percent 18 22" xfId="4643"/>
    <cellStyle name="Percent 18 23" xfId="4644"/>
    <cellStyle name="Percent 18 24" xfId="4645"/>
    <cellStyle name="Percent 18 25" xfId="4646"/>
    <cellStyle name="Percent 18 26" xfId="4647"/>
    <cellStyle name="Percent 18 27" xfId="4648"/>
    <cellStyle name="Percent 18 28" xfId="4649"/>
    <cellStyle name="Percent 18 29" xfId="4650"/>
    <cellStyle name="Percent 18 3" xfId="4651"/>
    <cellStyle name="Percent 18 3 2" xfId="4652"/>
    <cellStyle name="Percent 18 3 3" xfId="24876"/>
    <cellStyle name="Percent 18 3_Forecast" xfId="24877"/>
    <cellStyle name="Percent 18 30" xfId="24878"/>
    <cellStyle name="Percent 18 4" xfId="4653"/>
    <cellStyle name="Percent 18 4 2" xfId="4654"/>
    <cellStyle name="Percent 18 4 3" xfId="24879"/>
    <cellStyle name="Percent 18 4_Forecast" xfId="24880"/>
    <cellStyle name="Percent 18 5" xfId="4655"/>
    <cellStyle name="Percent 18 5 2" xfId="4656"/>
    <cellStyle name="Percent 18 5 3" xfId="24881"/>
    <cellStyle name="Percent 18 5_Forecast" xfId="24882"/>
    <cellStyle name="Percent 18 6" xfId="4657"/>
    <cellStyle name="Percent 18 6 2" xfId="4658"/>
    <cellStyle name="Percent 18 6 3" xfId="24883"/>
    <cellStyle name="Percent 18 6_Forecast" xfId="24884"/>
    <cellStyle name="Percent 18 7" xfId="4659"/>
    <cellStyle name="Percent 18 7 2" xfId="4660"/>
    <cellStyle name="Percent 18 7 3" xfId="24885"/>
    <cellStyle name="Percent 18 7_Forecast" xfId="24886"/>
    <cellStyle name="Percent 18 8" xfId="4661"/>
    <cellStyle name="Percent 18 8 2" xfId="24887"/>
    <cellStyle name="Percent 18 8_Forecast" xfId="24888"/>
    <cellStyle name="Percent 18 9" xfId="4662"/>
    <cellStyle name="Percent 18 9 2" xfId="24889"/>
    <cellStyle name="Percent 18 9_Forecast" xfId="24890"/>
    <cellStyle name="Percent 18_Forecast" xfId="24891"/>
    <cellStyle name="Percent 19" xfId="4663"/>
    <cellStyle name="Percent 19 10" xfId="4664"/>
    <cellStyle name="Percent 19 10 2" xfId="4665"/>
    <cellStyle name="Percent 19 10 3" xfId="24892"/>
    <cellStyle name="Percent 19 10_Forecast" xfId="24893"/>
    <cellStyle name="Percent 19 11" xfId="4666"/>
    <cellStyle name="Percent 19 11 2" xfId="4667"/>
    <cellStyle name="Percent 19 11 3" xfId="24894"/>
    <cellStyle name="Percent 19 11_Forecast" xfId="24895"/>
    <cellStyle name="Percent 19 12" xfId="4668"/>
    <cellStyle name="Percent 19 12 2" xfId="4669"/>
    <cellStyle name="Percent 19 12 3" xfId="24896"/>
    <cellStyle name="Percent 19 12_Forecast" xfId="24897"/>
    <cellStyle name="Percent 19 13" xfId="4670"/>
    <cellStyle name="Percent 19 13 2" xfId="4671"/>
    <cellStyle name="Percent 19 13 3" xfId="24898"/>
    <cellStyle name="Percent 19 13_Forecast" xfId="24899"/>
    <cellStyle name="Percent 19 14" xfId="4672"/>
    <cellStyle name="Percent 19 15" xfId="24900"/>
    <cellStyle name="Percent 19 2" xfId="4673"/>
    <cellStyle name="Percent 19 2 2" xfId="4674"/>
    <cellStyle name="Percent 19 2 3" xfId="24901"/>
    <cellStyle name="Percent 19 2_Forecast" xfId="24902"/>
    <cellStyle name="Percent 19 3" xfId="4675"/>
    <cellStyle name="Percent 19 3 2" xfId="4676"/>
    <cellStyle name="Percent 19 3 3" xfId="24903"/>
    <cellStyle name="Percent 19 3_Forecast" xfId="24904"/>
    <cellStyle name="Percent 19 4" xfId="4677"/>
    <cellStyle name="Percent 19 4 2" xfId="4678"/>
    <cellStyle name="Percent 19 4 3" xfId="24905"/>
    <cellStyle name="Percent 19 4_Forecast" xfId="24906"/>
    <cellStyle name="Percent 19 5" xfId="4679"/>
    <cellStyle name="Percent 19 5 2" xfId="4680"/>
    <cellStyle name="Percent 19 5 3" xfId="24907"/>
    <cellStyle name="Percent 19 5_Forecast" xfId="24908"/>
    <cellStyle name="Percent 19 6" xfId="4681"/>
    <cellStyle name="Percent 19 6 2" xfId="4682"/>
    <cellStyle name="Percent 19 6 3" xfId="24909"/>
    <cellStyle name="Percent 19 6_Forecast" xfId="24910"/>
    <cellStyle name="Percent 19 7" xfId="4683"/>
    <cellStyle name="Percent 19 7 2" xfId="4684"/>
    <cellStyle name="Percent 19 7 3" xfId="24911"/>
    <cellStyle name="Percent 19 7_Forecast" xfId="24912"/>
    <cellStyle name="Percent 19 8" xfId="4685"/>
    <cellStyle name="Percent 19 8 2" xfId="4686"/>
    <cellStyle name="Percent 19 8 3" xfId="24913"/>
    <cellStyle name="Percent 19 8_Forecast" xfId="24914"/>
    <cellStyle name="Percent 19 9" xfId="4687"/>
    <cellStyle name="Percent 19 9 2" xfId="4688"/>
    <cellStyle name="Percent 19 9 3" xfId="24915"/>
    <cellStyle name="Percent 19 9_Forecast" xfId="24916"/>
    <cellStyle name="Percent 19_Forecast" xfId="24917"/>
    <cellStyle name="Percent 2" xfId="4689"/>
    <cellStyle name="Percent 2 10" xfId="4690"/>
    <cellStyle name="Percent 2 10 2" xfId="24918"/>
    <cellStyle name="Percent 2 10_Forecast" xfId="24919"/>
    <cellStyle name="Percent 2 11" xfId="4691"/>
    <cellStyle name="Percent 2 11 2" xfId="24920"/>
    <cellStyle name="Percent 2 11_Forecast" xfId="24921"/>
    <cellStyle name="Percent 2 12" xfId="4692"/>
    <cellStyle name="Percent 2 13" xfId="4693"/>
    <cellStyle name="Percent 2 14" xfId="4694"/>
    <cellStyle name="Percent 2 15" xfId="4695"/>
    <cellStyle name="Percent 2 16" xfId="4696"/>
    <cellStyle name="Percent 2 17" xfId="4697"/>
    <cellStyle name="Percent 2 18" xfId="4698"/>
    <cellStyle name="Percent 2 19" xfId="4699"/>
    <cellStyle name="Percent 2 2" xfId="4700"/>
    <cellStyle name="Percent 2 2 2" xfId="4701"/>
    <cellStyle name="Percent 2 2 3" xfId="20658"/>
    <cellStyle name="Percent 2 2_Forecast" xfId="24922"/>
    <cellStyle name="Percent 2 20" xfId="4702"/>
    <cellStyle name="Percent 2 21" xfId="4703"/>
    <cellStyle name="Percent 2 22" xfId="4704"/>
    <cellStyle name="Percent 2 23" xfId="4705"/>
    <cellStyle name="Percent 2 24" xfId="4706"/>
    <cellStyle name="Percent 2 25" xfId="4707"/>
    <cellStyle name="Percent 2 26" xfId="4708"/>
    <cellStyle name="Percent 2 27" xfId="4709"/>
    <cellStyle name="Percent 2 28" xfId="4710"/>
    <cellStyle name="Percent 2 29" xfId="4711"/>
    <cellStyle name="Percent 2 3" xfId="4712"/>
    <cellStyle name="Percent 2 3 2" xfId="4713"/>
    <cellStyle name="Percent 2 3 3" xfId="20659"/>
    <cellStyle name="Percent 2 3 3 2" xfId="21996"/>
    <cellStyle name="Percent 2 3 3_Note Calc" xfId="27872"/>
    <cellStyle name="Percent 2 3_Forecast" xfId="24923"/>
    <cellStyle name="Percent 2 30" xfId="4714"/>
    <cellStyle name="Percent 2 31" xfId="20657"/>
    <cellStyle name="Percent 2 32" xfId="21941"/>
    <cellStyle name="Percent 2 33" xfId="21923"/>
    <cellStyle name="Percent 2 4" xfId="4715"/>
    <cellStyle name="Percent 2 4 2" xfId="4716"/>
    <cellStyle name="Percent 2 4 3" xfId="20660"/>
    <cellStyle name="Percent 2 4_Forecast" xfId="24924"/>
    <cellStyle name="Percent 2 5" xfId="4717"/>
    <cellStyle name="Percent 2 5 2" xfId="4718"/>
    <cellStyle name="Percent 2 5 3" xfId="20661"/>
    <cellStyle name="Percent 2 5_Forecast" xfId="24925"/>
    <cellStyle name="Percent 2 6" xfId="4719"/>
    <cellStyle name="Percent 2 6 2" xfId="4720"/>
    <cellStyle name="Percent 2 6 3" xfId="20662"/>
    <cellStyle name="Percent 2 6_Forecast" xfId="24926"/>
    <cellStyle name="Percent 2 7" xfId="4721"/>
    <cellStyle name="Percent 2 7 2" xfId="4722"/>
    <cellStyle name="Percent 2 7 3" xfId="20663"/>
    <cellStyle name="Percent 2 7_Forecast" xfId="24927"/>
    <cellStyle name="Percent 2 8" xfId="4723"/>
    <cellStyle name="Percent 2 8 2" xfId="4724"/>
    <cellStyle name="Percent 2 8 3" xfId="20664"/>
    <cellStyle name="Percent 2 8_Forecast" xfId="24928"/>
    <cellStyle name="Percent 2 9" xfId="4725"/>
    <cellStyle name="Percent 2 9 2" xfId="20665"/>
    <cellStyle name="Percent 2 9_Forecast" xfId="24929"/>
    <cellStyle name="Percent 2_Forecast" xfId="24930"/>
    <cellStyle name="Percent 20" xfId="4726"/>
    <cellStyle name="Percent 20 2" xfId="4727"/>
    <cellStyle name="Percent 20 2 2" xfId="4728"/>
    <cellStyle name="Percent 20 2 3" xfId="24931"/>
    <cellStyle name="Percent 20 2_Forecast" xfId="24932"/>
    <cellStyle name="Percent 20 3" xfId="4729"/>
    <cellStyle name="Percent 20 3 2" xfId="4730"/>
    <cellStyle name="Percent 20 3 3" xfId="24933"/>
    <cellStyle name="Percent 20 3_Forecast" xfId="24934"/>
    <cellStyle name="Percent 20 4" xfId="4731"/>
    <cellStyle name="Percent 20 4 2" xfId="4732"/>
    <cellStyle name="Percent 20 4 3" xfId="24935"/>
    <cellStyle name="Percent 20 4_Forecast" xfId="24936"/>
    <cellStyle name="Percent 20 5" xfId="4733"/>
    <cellStyle name="Percent 20 6" xfId="24937"/>
    <cellStyle name="Percent 20_Forecast" xfId="24938"/>
    <cellStyle name="Percent 21" xfId="4734"/>
    <cellStyle name="Percent 21 2" xfId="4735"/>
    <cellStyle name="Percent 21 3" xfId="24939"/>
    <cellStyle name="Percent 21_Forecast" xfId="24940"/>
    <cellStyle name="Percent 22" xfId="4736"/>
    <cellStyle name="Percent 22 10" xfId="4737"/>
    <cellStyle name="Percent 22 10 2" xfId="24941"/>
    <cellStyle name="Percent 22 10_Forecast" xfId="24942"/>
    <cellStyle name="Percent 22 11" xfId="4738"/>
    <cellStyle name="Percent 22 12" xfId="4739"/>
    <cellStyle name="Percent 22 13" xfId="4740"/>
    <cellStyle name="Percent 22 14" xfId="4741"/>
    <cellStyle name="Percent 22 15" xfId="4742"/>
    <cellStyle name="Percent 22 16" xfId="4743"/>
    <cellStyle name="Percent 22 17" xfId="4744"/>
    <cellStyle name="Percent 22 18" xfId="4745"/>
    <cellStyle name="Percent 22 19" xfId="4746"/>
    <cellStyle name="Percent 22 2" xfId="4747"/>
    <cellStyle name="Percent 22 2 2" xfId="4748"/>
    <cellStyle name="Percent 22 2 3" xfId="24943"/>
    <cellStyle name="Percent 22 2_Forecast" xfId="24944"/>
    <cellStyle name="Percent 22 20" xfId="4749"/>
    <cellStyle name="Percent 22 21" xfId="4750"/>
    <cellStyle name="Percent 22 22" xfId="4751"/>
    <cellStyle name="Percent 22 23" xfId="4752"/>
    <cellStyle name="Percent 22 24" xfId="4753"/>
    <cellStyle name="Percent 22 25" xfId="4754"/>
    <cellStyle name="Percent 22 26" xfId="4755"/>
    <cellStyle name="Percent 22 27" xfId="4756"/>
    <cellStyle name="Percent 22 28" xfId="4757"/>
    <cellStyle name="Percent 22 29" xfId="4758"/>
    <cellStyle name="Percent 22 3" xfId="4759"/>
    <cellStyle name="Percent 22 3 2" xfId="4760"/>
    <cellStyle name="Percent 22 3 3" xfId="24945"/>
    <cellStyle name="Percent 22 3_Forecast" xfId="24946"/>
    <cellStyle name="Percent 22 30" xfId="24947"/>
    <cellStyle name="Percent 22 4" xfId="4761"/>
    <cellStyle name="Percent 22 4 2" xfId="4762"/>
    <cellStyle name="Percent 22 4 3" xfId="24948"/>
    <cellStyle name="Percent 22 4_Forecast" xfId="24949"/>
    <cellStyle name="Percent 22 5" xfId="4763"/>
    <cellStyle name="Percent 22 5 2" xfId="4764"/>
    <cellStyle name="Percent 22 5 3" xfId="24950"/>
    <cellStyle name="Percent 22 5_Forecast" xfId="24951"/>
    <cellStyle name="Percent 22 6" xfId="4765"/>
    <cellStyle name="Percent 22 6 2" xfId="4766"/>
    <cellStyle name="Percent 22 6 3" xfId="24952"/>
    <cellStyle name="Percent 22 6_Forecast" xfId="24953"/>
    <cellStyle name="Percent 22 7" xfId="4767"/>
    <cellStyle name="Percent 22 7 2" xfId="4768"/>
    <cellStyle name="Percent 22 7 3" xfId="24954"/>
    <cellStyle name="Percent 22 7_Forecast" xfId="24955"/>
    <cellStyle name="Percent 22 8" xfId="4769"/>
    <cellStyle name="Percent 22 8 2" xfId="24956"/>
    <cellStyle name="Percent 22 8_Forecast" xfId="24957"/>
    <cellStyle name="Percent 22 9" xfId="4770"/>
    <cellStyle name="Percent 22 9 2" xfId="24958"/>
    <cellStyle name="Percent 22 9_Forecast" xfId="24959"/>
    <cellStyle name="Percent 22_Forecast" xfId="24960"/>
    <cellStyle name="Percent 23" xfId="4771"/>
    <cellStyle name="Percent 23 10" xfId="4772"/>
    <cellStyle name="Percent 23 10 10" xfId="4773"/>
    <cellStyle name="Percent 23 10 10 2" xfId="24961"/>
    <cellStyle name="Percent 23 10 10_Forecast" xfId="24962"/>
    <cellStyle name="Percent 23 10 11" xfId="4774"/>
    <cellStyle name="Percent 23 10 12" xfId="4775"/>
    <cellStyle name="Percent 23 10 13" xfId="4776"/>
    <cellStyle name="Percent 23 10 14" xfId="4777"/>
    <cellStyle name="Percent 23 10 15" xfId="4778"/>
    <cellStyle name="Percent 23 10 16" xfId="4779"/>
    <cellStyle name="Percent 23 10 17" xfId="4780"/>
    <cellStyle name="Percent 23 10 18" xfId="4781"/>
    <cellStyle name="Percent 23 10 19" xfId="4782"/>
    <cellStyle name="Percent 23 10 2" xfId="4783"/>
    <cellStyle name="Percent 23 10 2 2" xfId="4784"/>
    <cellStyle name="Percent 23 10 2 3" xfId="24963"/>
    <cellStyle name="Percent 23 10 2_Forecast" xfId="24964"/>
    <cellStyle name="Percent 23 10 20" xfId="4785"/>
    <cellStyle name="Percent 23 10 21" xfId="4786"/>
    <cellStyle name="Percent 23 10 22" xfId="4787"/>
    <cellStyle name="Percent 23 10 23" xfId="4788"/>
    <cellStyle name="Percent 23 10 24" xfId="4789"/>
    <cellStyle name="Percent 23 10 25" xfId="4790"/>
    <cellStyle name="Percent 23 10 26" xfId="4791"/>
    <cellStyle name="Percent 23 10 27" xfId="4792"/>
    <cellStyle name="Percent 23 10 28" xfId="4793"/>
    <cellStyle name="Percent 23 10 29" xfId="4794"/>
    <cellStyle name="Percent 23 10 3" xfId="4795"/>
    <cellStyle name="Percent 23 10 3 2" xfId="4796"/>
    <cellStyle name="Percent 23 10 3 3" xfId="24965"/>
    <cellStyle name="Percent 23 10 3_Forecast" xfId="24966"/>
    <cellStyle name="Percent 23 10 30" xfId="24967"/>
    <cellStyle name="Percent 23 10 4" xfId="4797"/>
    <cellStyle name="Percent 23 10 4 2" xfId="4798"/>
    <cellStyle name="Percent 23 10 4 3" xfId="24968"/>
    <cellStyle name="Percent 23 10 4_Forecast" xfId="24969"/>
    <cellStyle name="Percent 23 10 5" xfId="4799"/>
    <cellStyle name="Percent 23 10 5 2" xfId="4800"/>
    <cellStyle name="Percent 23 10 5 3" xfId="24970"/>
    <cellStyle name="Percent 23 10 5_Forecast" xfId="24971"/>
    <cellStyle name="Percent 23 10 6" xfId="4801"/>
    <cellStyle name="Percent 23 10 6 2" xfId="4802"/>
    <cellStyle name="Percent 23 10 6 3" xfId="24972"/>
    <cellStyle name="Percent 23 10 6_Forecast" xfId="24973"/>
    <cellStyle name="Percent 23 10 7" xfId="4803"/>
    <cellStyle name="Percent 23 10 7 2" xfId="4804"/>
    <cellStyle name="Percent 23 10 7 3" xfId="24974"/>
    <cellStyle name="Percent 23 10 7_Forecast" xfId="24975"/>
    <cellStyle name="Percent 23 10 8" xfId="4805"/>
    <cellStyle name="Percent 23 10 8 2" xfId="24976"/>
    <cellStyle name="Percent 23 10 8_Forecast" xfId="24977"/>
    <cellStyle name="Percent 23 10 9" xfId="4806"/>
    <cellStyle name="Percent 23 10 9 2" xfId="24978"/>
    <cellStyle name="Percent 23 10 9_Forecast" xfId="24979"/>
    <cellStyle name="Percent 23 10_Forecast" xfId="24980"/>
    <cellStyle name="Percent 23 11" xfId="4807"/>
    <cellStyle name="Percent 23 11 2" xfId="4808"/>
    <cellStyle name="Percent 23 11 3" xfId="24981"/>
    <cellStyle name="Percent 23 11_Forecast" xfId="24982"/>
    <cellStyle name="Percent 23 12" xfId="4809"/>
    <cellStyle name="Percent 23 12 2" xfId="24983"/>
    <cellStyle name="Percent 23 12_Forecast" xfId="24984"/>
    <cellStyle name="Percent 23 13" xfId="4810"/>
    <cellStyle name="Percent 23 13 2" xfId="24985"/>
    <cellStyle name="Percent 23 13_Forecast" xfId="24986"/>
    <cellStyle name="Percent 23 14" xfId="4811"/>
    <cellStyle name="Percent 23 14 2" xfId="24987"/>
    <cellStyle name="Percent 23 14_Forecast" xfId="24988"/>
    <cellStyle name="Percent 23 15" xfId="4812"/>
    <cellStyle name="Percent 23 15 2" xfId="24989"/>
    <cellStyle name="Percent 23 15_Forecast" xfId="24990"/>
    <cellStyle name="Percent 23 16" xfId="4813"/>
    <cellStyle name="Percent 23 16 2" xfId="24991"/>
    <cellStyle name="Percent 23 16_Forecast" xfId="24992"/>
    <cellStyle name="Percent 23 17" xfId="4814"/>
    <cellStyle name="Percent 23 18" xfId="4815"/>
    <cellStyle name="Percent 23 19" xfId="4816"/>
    <cellStyle name="Percent 23 2" xfId="4817"/>
    <cellStyle name="Percent 23 2 10" xfId="4818"/>
    <cellStyle name="Percent 23 2 10 2" xfId="24993"/>
    <cellStyle name="Percent 23 2 10_Forecast" xfId="24994"/>
    <cellStyle name="Percent 23 2 11" xfId="4819"/>
    <cellStyle name="Percent 23 2 12" xfId="4820"/>
    <cellStyle name="Percent 23 2 13" xfId="4821"/>
    <cellStyle name="Percent 23 2 14" xfId="4822"/>
    <cellStyle name="Percent 23 2 15" xfId="4823"/>
    <cellStyle name="Percent 23 2 16" xfId="4824"/>
    <cellStyle name="Percent 23 2 17" xfId="4825"/>
    <cellStyle name="Percent 23 2 18" xfId="4826"/>
    <cellStyle name="Percent 23 2 19" xfId="4827"/>
    <cellStyle name="Percent 23 2 2" xfId="4828"/>
    <cellStyle name="Percent 23 2 2 2" xfId="4829"/>
    <cellStyle name="Percent 23 2 2 3" xfId="24995"/>
    <cellStyle name="Percent 23 2 2_Forecast" xfId="24996"/>
    <cellStyle name="Percent 23 2 20" xfId="4830"/>
    <cellStyle name="Percent 23 2 21" xfId="4831"/>
    <cellStyle name="Percent 23 2 22" xfId="4832"/>
    <cellStyle name="Percent 23 2 23" xfId="4833"/>
    <cellStyle name="Percent 23 2 24" xfId="4834"/>
    <cellStyle name="Percent 23 2 25" xfId="4835"/>
    <cellStyle name="Percent 23 2 26" xfId="4836"/>
    <cellStyle name="Percent 23 2 27" xfId="4837"/>
    <cellStyle name="Percent 23 2 28" xfId="4838"/>
    <cellStyle name="Percent 23 2 29" xfId="4839"/>
    <cellStyle name="Percent 23 2 3" xfId="4840"/>
    <cellStyle name="Percent 23 2 3 2" xfId="4841"/>
    <cellStyle name="Percent 23 2 3 3" xfId="24997"/>
    <cellStyle name="Percent 23 2 3_Forecast" xfId="24998"/>
    <cellStyle name="Percent 23 2 30" xfId="24999"/>
    <cellStyle name="Percent 23 2 4" xfId="4842"/>
    <cellStyle name="Percent 23 2 4 2" xfId="4843"/>
    <cellStyle name="Percent 23 2 4 3" xfId="25000"/>
    <cellStyle name="Percent 23 2 4_Forecast" xfId="25001"/>
    <cellStyle name="Percent 23 2 5" xfId="4844"/>
    <cellStyle name="Percent 23 2 5 2" xfId="4845"/>
    <cellStyle name="Percent 23 2 5 3" xfId="25002"/>
    <cellStyle name="Percent 23 2 5_Forecast" xfId="25003"/>
    <cellStyle name="Percent 23 2 6" xfId="4846"/>
    <cellStyle name="Percent 23 2 6 2" xfId="4847"/>
    <cellStyle name="Percent 23 2 6 3" xfId="25004"/>
    <cellStyle name="Percent 23 2 6_Forecast" xfId="25005"/>
    <cellStyle name="Percent 23 2 7" xfId="4848"/>
    <cellStyle name="Percent 23 2 7 2" xfId="4849"/>
    <cellStyle name="Percent 23 2 7 3" xfId="25006"/>
    <cellStyle name="Percent 23 2 7_Forecast" xfId="25007"/>
    <cellStyle name="Percent 23 2 8" xfId="4850"/>
    <cellStyle name="Percent 23 2 8 2" xfId="25008"/>
    <cellStyle name="Percent 23 2 8_Forecast" xfId="25009"/>
    <cellStyle name="Percent 23 2 9" xfId="4851"/>
    <cellStyle name="Percent 23 2 9 2" xfId="25010"/>
    <cellStyle name="Percent 23 2 9_Forecast" xfId="25011"/>
    <cellStyle name="Percent 23 2_Forecast" xfId="25012"/>
    <cellStyle name="Percent 23 20" xfId="4852"/>
    <cellStyle name="Percent 23 21" xfId="4853"/>
    <cellStyle name="Percent 23 22" xfId="4854"/>
    <cellStyle name="Percent 23 23" xfId="4855"/>
    <cellStyle name="Percent 23 24" xfId="4856"/>
    <cellStyle name="Percent 23 25" xfId="4857"/>
    <cellStyle name="Percent 23 26" xfId="4858"/>
    <cellStyle name="Percent 23 27" xfId="4859"/>
    <cellStyle name="Percent 23 28" xfId="4860"/>
    <cellStyle name="Percent 23 29" xfId="4861"/>
    <cellStyle name="Percent 23 3" xfId="4862"/>
    <cellStyle name="Percent 23 3 10" xfId="4863"/>
    <cellStyle name="Percent 23 3 10 2" xfId="25013"/>
    <cellStyle name="Percent 23 3 10_Forecast" xfId="25014"/>
    <cellStyle name="Percent 23 3 11" xfId="4864"/>
    <cellStyle name="Percent 23 3 12" xfId="4865"/>
    <cellStyle name="Percent 23 3 13" xfId="4866"/>
    <cellStyle name="Percent 23 3 14" xfId="4867"/>
    <cellStyle name="Percent 23 3 15" xfId="4868"/>
    <cellStyle name="Percent 23 3 16" xfId="4869"/>
    <cellStyle name="Percent 23 3 17" xfId="4870"/>
    <cellStyle name="Percent 23 3 18" xfId="4871"/>
    <cellStyle name="Percent 23 3 19" xfId="4872"/>
    <cellStyle name="Percent 23 3 2" xfId="4873"/>
    <cellStyle name="Percent 23 3 2 2" xfId="4874"/>
    <cellStyle name="Percent 23 3 2 3" xfId="25015"/>
    <cellStyle name="Percent 23 3 2_Forecast" xfId="25016"/>
    <cellStyle name="Percent 23 3 20" xfId="4875"/>
    <cellStyle name="Percent 23 3 21" xfId="4876"/>
    <cellStyle name="Percent 23 3 22" xfId="4877"/>
    <cellStyle name="Percent 23 3 23" xfId="4878"/>
    <cellStyle name="Percent 23 3 24" xfId="4879"/>
    <cellStyle name="Percent 23 3 25" xfId="4880"/>
    <cellStyle name="Percent 23 3 26" xfId="4881"/>
    <cellStyle name="Percent 23 3 27" xfId="4882"/>
    <cellStyle name="Percent 23 3 28" xfId="4883"/>
    <cellStyle name="Percent 23 3 29" xfId="4884"/>
    <cellStyle name="Percent 23 3 3" xfId="4885"/>
    <cellStyle name="Percent 23 3 3 2" xfId="4886"/>
    <cellStyle name="Percent 23 3 3 3" xfId="25017"/>
    <cellStyle name="Percent 23 3 3_Forecast" xfId="25018"/>
    <cellStyle name="Percent 23 3 30" xfId="25019"/>
    <cellStyle name="Percent 23 3 4" xfId="4887"/>
    <cellStyle name="Percent 23 3 4 2" xfId="4888"/>
    <cellStyle name="Percent 23 3 4 3" xfId="25020"/>
    <cellStyle name="Percent 23 3 4_Forecast" xfId="25021"/>
    <cellStyle name="Percent 23 3 5" xfId="4889"/>
    <cellStyle name="Percent 23 3 5 2" xfId="4890"/>
    <cellStyle name="Percent 23 3 5 3" xfId="25022"/>
    <cellStyle name="Percent 23 3 5_Forecast" xfId="25023"/>
    <cellStyle name="Percent 23 3 6" xfId="4891"/>
    <cellStyle name="Percent 23 3 6 2" xfId="4892"/>
    <cellStyle name="Percent 23 3 6 3" xfId="25024"/>
    <cellStyle name="Percent 23 3 6_Forecast" xfId="25025"/>
    <cellStyle name="Percent 23 3 7" xfId="4893"/>
    <cellStyle name="Percent 23 3 7 2" xfId="4894"/>
    <cellStyle name="Percent 23 3 7 3" xfId="25026"/>
    <cellStyle name="Percent 23 3 7_Forecast" xfId="25027"/>
    <cellStyle name="Percent 23 3 8" xfId="4895"/>
    <cellStyle name="Percent 23 3 8 2" xfId="25028"/>
    <cellStyle name="Percent 23 3 8_Forecast" xfId="25029"/>
    <cellStyle name="Percent 23 3 9" xfId="4896"/>
    <cellStyle name="Percent 23 3 9 2" xfId="25030"/>
    <cellStyle name="Percent 23 3 9_Forecast" xfId="25031"/>
    <cellStyle name="Percent 23 3_Forecast" xfId="25032"/>
    <cellStyle name="Percent 23 30" xfId="4897"/>
    <cellStyle name="Percent 23 31" xfId="4898"/>
    <cellStyle name="Percent 23 32" xfId="4899"/>
    <cellStyle name="Percent 23 33" xfId="4900"/>
    <cellStyle name="Percent 23 34" xfId="4901"/>
    <cellStyle name="Percent 23 35" xfId="4902"/>
    <cellStyle name="Percent 23 36" xfId="25033"/>
    <cellStyle name="Percent 23 4" xfId="4903"/>
    <cellStyle name="Percent 23 4 10" xfId="4904"/>
    <cellStyle name="Percent 23 4 10 2" xfId="25034"/>
    <cellStyle name="Percent 23 4 10_Forecast" xfId="25035"/>
    <cellStyle name="Percent 23 4 11" xfId="4905"/>
    <cellStyle name="Percent 23 4 12" xfId="4906"/>
    <cellStyle name="Percent 23 4 13" xfId="4907"/>
    <cellStyle name="Percent 23 4 14" xfId="4908"/>
    <cellStyle name="Percent 23 4 15" xfId="4909"/>
    <cellStyle name="Percent 23 4 16" xfId="4910"/>
    <cellStyle name="Percent 23 4 17" xfId="4911"/>
    <cellStyle name="Percent 23 4 18" xfId="4912"/>
    <cellStyle name="Percent 23 4 19" xfId="4913"/>
    <cellStyle name="Percent 23 4 2" xfId="4914"/>
    <cellStyle name="Percent 23 4 2 2" xfId="4915"/>
    <cellStyle name="Percent 23 4 2 3" xfId="25036"/>
    <cellStyle name="Percent 23 4 2_Forecast" xfId="25037"/>
    <cellStyle name="Percent 23 4 20" xfId="4916"/>
    <cellStyle name="Percent 23 4 21" xfId="4917"/>
    <cellStyle name="Percent 23 4 22" xfId="4918"/>
    <cellStyle name="Percent 23 4 23" xfId="4919"/>
    <cellStyle name="Percent 23 4 24" xfId="4920"/>
    <cellStyle name="Percent 23 4 25" xfId="4921"/>
    <cellStyle name="Percent 23 4 26" xfId="4922"/>
    <cellStyle name="Percent 23 4 27" xfId="4923"/>
    <cellStyle name="Percent 23 4 28" xfId="4924"/>
    <cellStyle name="Percent 23 4 29" xfId="4925"/>
    <cellStyle name="Percent 23 4 3" xfId="4926"/>
    <cellStyle name="Percent 23 4 3 2" xfId="4927"/>
    <cellStyle name="Percent 23 4 3 3" xfId="25038"/>
    <cellStyle name="Percent 23 4 3_Forecast" xfId="25039"/>
    <cellStyle name="Percent 23 4 30" xfId="25040"/>
    <cellStyle name="Percent 23 4 4" xfId="4928"/>
    <cellStyle name="Percent 23 4 4 2" xfId="4929"/>
    <cellStyle name="Percent 23 4 4 3" xfId="25041"/>
    <cellStyle name="Percent 23 4 4_Forecast" xfId="25042"/>
    <cellStyle name="Percent 23 4 5" xfId="4930"/>
    <cellStyle name="Percent 23 4 5 2" xfId="4931"/>
    <cellStyle name="Percent 23 4 5 3" xfId="25043"/>
    <cellStyle name="Percent 23 4 5_Forecast" xfId="25044"/>
    <cellStyle name="Percent 23 4 6" xfId="4932"/>
    <cellStyle name="Percent 23 4 6 2" xfId="4933"/>
    <cellStyle name="Percent 23 4 6 3" xfId="25045"/>
    <cellStyle name="Percent 23 4 6_Forecast" xfId="25046"/>
    <cellStyle name="Percent 23 4 7" xfId="4934"/>
    <cellStyle name="Percent 23 4 7 2" xfId="4935"/>
    <cellStyle name="Percent 23 4 7 3" xfId="25047"/>
    <cellStyle name="Percent 23 4 7_Forecast" xfId="25048"/>
    <cellStyle name="Percent 23 4 8" xfId="4936"/>
    <cellStyle name="Percent 23 4 8 2" xfId="25049"/>
    <cellStyle name="Percent 23 4 8_Forecast" xfId="25050"/>
    <cellStyle name="Percent 23 4 9" xfId="4937"/>
    <cellStyle name="Percent 23 4 9 2" xfId="25051"/>
    <cellStyle name="Percent 23 4 9_Forecast" xfId="25052"/>
    <cellStyle name="Percent 23 4_Forecast" xfId="25053"/>
    <cellStyle name="Percent 23 5" xfId="4938"/>
    <cellStyle name="Percent 23 5 10" xfId="4939"/>
    <cellStyle name="Percent 23 5 10 2" xfId="25054"/>
    <cellStyle name="Percent 23 5 10_Forecast" xfId="25055"/>
    <cellStyle name="Percent 23 5 11" xfId="4940"/>
    <cellStyle name="Percent 23 5 12" xfId="4941"/>
    <cellStyle name="Percent 23 5 13" xfId="4942"/>
    <cellStyle name="Percent 23 5 14" xfId="4943"/>
    <cellStyle name="Percent 23 5 15" xfId="4944"/>
    <cellStyle name="Percent 23 5 16" xfId="4945"/>
    <cellStyle name="Percent 23 5 17" xfId="4946"/>
    <cellStyle name="Percent 23 5 18" xfId="4947"/>
    <cellStyle name="Percent 23 5 19" xfId="4948"/>
    <cellStyle name="Percent 23 5 2" xfId="4949"/>
    <cellStyle name="Percent 23 5 2 2" xfId="4950"/>
    <cellStyle name="Percent 23 5 2 3" xfId="25056"/>
    <cellStyle name="Percent 23 5 2_Forecast" xfId="25057"/>
    <cellStyle name="Percent 23 5 20" xfId="4951"/>
    <cellStyle name="Percent 23 5 21" xfId="4952"/>
    <cellStyle name="Percent 23 5 22" xfId="4953"/>
    <cellStyle name="Percent 23 5 23" xfId="4954"/>
    <cellStyle name="Percent 23 5 24" xfId="4955"/>
    <cellStyle name="Percent 23 5 25" xfId="4956"/>
    <cellStyle name="Percent 23 5 26" xfId="4957"/>
    <cellStyle name="Percent 23 5 27" xfId="4958"/>
    <cellStyle name="Percent 23 5 28" xfId="4959"/>
    <cellStyle name="Percent 23 5 29" xfId="4960"/>
    <cellStyle name="Percent 23 5 3" xfId="4961"/>
    <cellStyle name="Percent 23 5 3 2" xfId="4962"/>
    <cellStyle name="Percent 23 5 3 3" xfId="25058"/>
    <cellStyle name="Percent 23 5 3_Forecast" xfId="25059"/>
    <cellStyle name="Percent 23 5 30" xfId="25060"/>
    <cellStyle name="Percent 23 5 4" xfId="4963"/>
    <cellStyle name="Percent 23 5 4 2" xfId="4964"/>
    <cellStyle name="Percent 23 5 4 3" xfId="25061"/>
    <cellStyle name="Percent 23 5 4_Forecast" xfId="25062"/>
    <cellStyle name="Percent 23 5 5" xfId="4965"/>
    <cellStyle name="Percent 23 5 5 2" xfId="4966"/>
    <cellStyle name="Percent 23 5 5 3" xfId="25063"/>
    <cellStyle name="Percent 23 5 5_Forecast" xfId="25064"/>
    <cellStyle name="Percent 23 5 6" xfId="4967"/>
    <cellStyle name="Percent 23 5 6 2" xfId="4968"/>
    <cellStyle name="Percent 23 5 6 3" xfId="25065"/>
    <cellStyle name="Percent 23 5 6_Forecast" xfId="25066"/>
    <cellStyle name="Percent 23 5 7" xfId="4969"/>
    <cellStyle name="Percent 23 5 7 2" xfId="4970"/>
    <cellStyle name="Percent 23 5 7 3" xfId="25067"/>
    <cellStyle name="Percent 23 5 7_Forecast" xfId="25068"/>
    <cellStyle name="Percent 23 5 8" xfId="4971"/>
    <cellStyle name="Percent 23 5 8 2" xfId="25069"/>
    <cellStyle name="Percent 23 5 8_Forecast" xfId="25070"/>
    <cellStyle name="Percent 23 5 9" xfId="4972"/>
    <cellStyle name="Percent 23 5 9 2" xfId="25071"/>
    <cellStyle name="Percent 23 5 9_Forecast" xfId="25072"/>
    <cellStyle name="Percent 23 5_Forecast" xfId="25073"/>
    <cellStyle name="Percent 23 6" xfId="4973"/>
    <cellStyle name="Percent 23 6 10" xfId="4974"/>
    <cellStyle name="Percent 23 6 10 2" xfId="25074"/>
    <cellStyle name="Percent 23 6 10_Forecast" xfId="25075"/>
    <cellStyle name="Percent 23 6 11" xfId="4975"/>
    <cellStyle name="Percent 23 6 12" xfId="4976"/>
    <cellStyle name="Percent 23 6 13" xfId="4977"/>
    <cellStyle name="Percent 23 6 14" xfId="4978"/>
    <cellStyle name="Percent 23 6 15" xfId="4979"/>
    <cellStyle name="Percent 23 6 16" xfId="4980"/>
    <cellStyle name="Percent 23 6 17" xfId="4981"/>
    <cellStyle name="Percent 23 6 18" xfId="4982"/>
    <cellStyle name="Percent 23 6 19" xfId="4983"/>
    <cellStyle name="Percent 23 6 2" xfId="4984"/>
    <cellStyle name="Percent 23 6 2 2" xfId="4985"/>
    <cellStyle name="Percent 23 6 2 3" xfId="25076"/>
    <cellStyle name="Percent 23 6 2_Forecast" xfId="25077"/>
    <cellStyle name="Percent 23 6 20" xfId="4986"/>
    <cellStyle name="Percent 23 6 21" xfId="4987"/>
    <cellStyle name="Percent 23 6 22" xfId="4988"/>
    <cellStyle name="Percent 23 6 23" xfId="4989"/>
    <cellStyle name="Percent 23 6 24" xfId="4990"/>
    <cellStyle name="Percent 23 6 25" xfId="4991"/>
    <cellStyle name="Percent 23 6 26" xfId="4992"/>
    <cellStyle name="Percent 23 6 27" xfId="4993"/>
    <cellStyle name="Percent 23 6 28" xfId="4994"/>
    <cellStyle name="Percent 23 6 29" xfId="4995"/>
    <cellStyle name="Percent 23 6 3" xfId="4996"/>
    <cellStyle name="Percent 23 6 3 2" xfId="4997"/>
    <cellStyle name="Percent 23 6 3 3" xfId="25078"/>
    <cellStyle name="Percent 23 6 3_Forecast" xfId="25079"/>
    <cellStyle name="Percent 23 6 30" xfId="25080"/>
    <cellStyle name="Percent 23 6 4" xfId="4998"/>
    <cellStyle name="Percent 23 6 4 2" xfId="4999"/>
    <cellStyle name="Percent 23 6 4 3" xfId="25081"/>
    <cellStyle name="Percent 23 6 4_Forecast" xfId="25082"/>
    <cellStyle name="Percent 23 6 5" xfId="5000"/>
    <cellStyle name="Percent 23 6 5 2" xfId="5001"/>
    <cellStyle name="Percent 23 6 5 3" xfId="25083"/>
    <cellStyle name="Percent 23 6 5_Forecast" xfId="25084"/>
    <cellStyle name="Percent 23 6 6" xfId="5002"/>
    <cellStyle name="Percent 23 6 6 2" xfId="5003"/>
    <cellStyle name="Percent 23 6 6 3" xfId="25085"/>
    <cellStyle name="Percent 23 6 6_Forecast" xfId="25086"/>
    <cellStyle name="Percent 23 6 7" xfId="5004"/>
    <cellStyle name="Percent 23 6 7 2" xfId="5005"/>
    <cellStyle name="Percent 23 6 7 3" xfId="25087"/>
    <cellStyle name="Percent 23 6 7_Forecast" xfId="25088"/>
    <cellStyle name="Percent 23 6 8" xfId="5006"/>
    <cellStyle name="Percent 23 6 8 2" xfId="25089"/>
    <cellStyle name="Percent 23 6 8_Forecast" xfId="25090"/>
    <cellStyle name="Percent 23 6 9" xfId="5007"/>
    <cellStyle name="Percent 23 6 9 2" xfId="25091"/>
    <cellStyle name="Percent 23 6 9_Forecast" xfId="25092"/>
    <cellStyle name="Percent 23 6_Forecast" xfId="25093"/>
    <cellStyle name="Percent 23 7" xfId="5008"/>
    <cellStyle name="Percent 23 7 10" xfId="5009"/>
    <cellStyle name="Percent 23 7 10 2" xfId="25094"/>
    <cellStyle name="Percent 23 7 10_Forecast" xfId="25095"/>
    <cellStyle name="Percent 23 7 11" xfId="5010"/>
    <cellStyle name="Percent 23 7 12" xfId="5011"/>
    <cellStyle name="Percent 23 7 13" xfId="5012"/>
    <cellStyle name="Percent 23 7 14" xfId="5013"/>
    <cellStyle name="Percent 23 7 15" xfId="5014"/>
    <cellStyle name="Percent 23 7 16" xfId="5015"/>
    <cellStyle name="Percent 23 7 17" xfId="5016"/>
    <cellStyle name="Percent 23 7 18" xfId="5017"/>
    <cellStyle name="Percent 23 7 19" xfId="5018"/>
    <cellStyle name="Percent 23 7 2" xfId="5019"/>
    <cellStyle name="Percent 23 7 2 2" xfId="5020"/>
    <cellStyle name="Percent 23 7 2 3" xfId="25096"/>
    <cellStyle name="Percent 23 7 2_Forecast" xfId="25097"/>
    <cellStyle name="Percent 23 7 20" xfId="5021"/>
    <cellStyle name="Percent 23 7 21" xfId="5022"/>
    <cellStyle name="Percent 23 7 22" xfId="5023"/>
    <cellStyle name="Percent 23 7 23" xfId="5024"/>
    <cellStyle name="Percent 23 7 24" xfId="5025"/>
    <cellStyle name="Percent 23 7 25" xfId="5026"/>
    <cellStyle name="Percent 23 7 26" xfId="5027"/>
    <cellStyle name="Percent 23 7 27" xfId="5028"/>
    <cellStyle name="Percent 23 7 28" xfId="5029"/>
    <cellStyle name="Percent 23 7 29" xfId="5030"/>
    <cellStyle name="Percent 23 7 3" xfId="5031"/>
    <cellStyle name="Percent 23 7 3 2" xfId="5032"/>
    <cellStyle name="Percent 23 7 3 3" xfId="25098"/>
    <cellStyle name="Percent 23 7 3_Forecast" xfId="25099"/>
    <cellStyle name="Percent 23 7 30" xfId="25100"/>
    <cellStyle name="Percent 23 7 4" xfId="5033"/>
    <cellStyle name="Percent 23 7 4 2" xfId="5034"/>
    <cellStyle name="Percent 23 7 4 3" xfId="25101"/>
    <cellStyle name="Percent 23 7 4_Forecast" xfId="25102"/>
    <cellStyle name="Percent 23 7 5" xfId="5035"/>
    <cellStyle name="Percent 23 7 5 2" xfId="5036"/>
    <cellStyle name="Percent 23 7 5 3" xfId="25103"/>
    <cellStyle name="Percent 23 7 5_Forecast" xfId="25104"/>
    <cellStyle name="Percent 23 7 6" xfId="5037"/>
    <cellStyle name="Percent 23 7 6 2" xfId="5038"/>
    <cellStyle name="Percent 23 7 6 3" xfId="25105"/>
    <cellStyle name="Percent 23 7 6_Forecast" xfId="25106"/>
    <cellStyle name="Percent 23 7 7" xfId="5039"/>
    <cellStyle name="Percent 23 7 7 2" xfId="5040"/>
    <cellStyle name="Percent 23 7 7 3" xfId="25107"/>
    <cellStyle name="Percent 23 7 7_Forecast" xfId="25108"/>
    <cellStyle name="Percent 23 7 8" xfId="5041"/>
    <cellStyle name="Percent 23 7 8 2" xfId="25109"/>
    <cellStyle name="Percent 23 7 8_Forecast" xfId="25110"/>
    <cellStyle name="Percent 23 7 9" xfId="5042"/>
    <cellStyle name="Percent 23 7 9 2" xfId="25111"/>
    <cellStyle name="Percent 23 7 9_Forecast" xfId="25112"/>
    <cellStyle name="Percent 23 7_Forecast" xfId="25113"/>
    <cellStyle name="Percent 23 8" xfId="5043"/>
    <cellStyle name="Percent 23 8 10" xfId="5044"/>
    <cellStyle name="Percent 23 8 10 2" xfId="25114"/>
    <cellStyle name="Percent 23 8 10_Forecast" xfId="25115"/>
    <cellStyle name="Percent 23 8 11" xfId="5045"/>
    <cellStyle name="Percent 23 8 12" xfId="5046"/>
    <cellStyle name="Percent 23 8 13" xfId="5047"/>
    <cellStyle name="Percent 23 8 14" xfId="5048"/>
    <cellStyle name="Percent 23 8 15" xfId="5049"/>
    <cellStyle name="Percent 23 8 16" xfId="5050"/>
    <cellStyle name="Percent 23 8 17" xfId="5051"/>
    <cellStyle name="Percent 23 8 18" xfId="5052"/>
    <cellStyle name="Percent 23 8 19" xfId="5053"/>
    <cellStyle name="Percent 23 8 2" xfId="5054"/>
    <cellStyle name="Percent 23 8 2 2" xfId="5055"/>
    <cellStyle name="Percent 23 8 2 3" xfId="25116"/>
    <cellStyle name="Percent 23 8 2_Forecast" xfId="25117"/>
    <cellStyle name="Percent 23 8 20" xfId="5056"/>
    <cellStyle name="Percent 23 8 21" xfId="5057"/>
    <cellStyle name="Percent 23 8 22" xfId="5058"/>
    <cellStyle name="Percent 23 8 23" xfId="5059"/>
    <cellStyle name="Percent 23 8 24" xfId="5060"/>
    <cellStyle name="Percent 23 8 25" xfId="5061"/>
    <cellStyle name="Percent 23 8 26" xfId="5062"/>
    <cellStyle name="Percent 23 8 27" xfId="5063"/>
    <cellStyle name="Percent 23 8 28" xfId="5064"/>
    <cellStyle name="Percent 23 8 29" xfId="5065"/>
    <cellStyle name="Percent 23 8 3" xfId="5066"/>
    <cellStyle name="Percent 23 8 3 2" xfId="5067"/>
    <cellStyle name="Percent 23 8 3 3" xfId="25118"/>
    <cellStyle name="Percent 23 8 3_Forecast" xfId="25119"/>
    <cellStyle name="Percent 23 8 30" xfId="25120"/>
    <cellStyle name="Percent 23 8 4" xfId="5068"/>
    <cellStyle name="Percent 23 8 4 2" xfId="5069"/>
    <cellStyle name="Percent 23 8 4 3" xfId="25121"/>
    <cellStyle name="Percent 23 8 4_Forecast" xfId="25122"/>
    <cellStyle name="Percent 23 8 5" xfId="5070"/>
    <cellStyle name="Percent 23 8 5 2" xfId="5071"/>
    <cellStyle name="Percent 23 8 5 3" xfId="25123"/>
    <cellStyle name="Percent 23 8 5_Forecast" xfId="25124"/>
    <cellStyle name="Percent 23 8 6" xfId="5072"/>
    <cellStyle name="Percent 23 8 6 2" xfId="5073"/>
    <cellStyle name="Percent 23 8 6 3" xfId="25125"/>
    <cellStyle name="Percent 23 8 6_Forecast" xfId="25126"/>
    <cellStyle name="Percent 23 8 7" xfId="5074"/>
    <cellStyle name="Percent 23 8 7 2" xfId="5075"/>
    <cellStyle name="Percent 23 8 7 3" xfId="25127"/>
    <cellStyle name="Percent 23 8 7_Forecast" xfId="25128"/>
    <cellStyle name="Percent 23 8 8" xfId="5076"/>
    <cellStyle name="Percent 23 8 8 2" xfId="25129"/>
    <cellStyle name="Percent 23 8 8_Forecast" xfId="25130"/>
    <cellStyle name="Percent 23 8 9" xfId="5077"/>
    <cellStyle name="Percent 23 8 9 2" xfId="25131"/>
    <cellStyle name="Percent 23 8 9_Forecast" xfId="25132"/>
    <cellStyle name="Percent 23 8_Forecast" xfId="25133"/>
    <cellStyle name="Percent 23 9" xfId="5078"/>
    <cellStyle name="Percent 23 9 10" xfId="5079"/>
    <cellStyle name="Percent 23 9 10 2" xfId="25134"/>
    <cellStyle name="Percent 23 9 10_Forecast" xfId="25135"/>
    <cellStyle name="Percent 23 9 11" xfId="5080"/>
    <cellStyle name="Percent 23 9 12" xfId="5081"/>
    <cellStyle name="Percent 23 9 13" xfId="5082"/>
    <cellStyle name="Percent 23 9 14" xfId="5083"/>
    <cellStyle name="Percent 23 9 15" xfId="5084"/>
    <cellStyle name="Percent 23 9 16" xfId="5085"/>
    <cellStyle name="Percent 23 9 17" xfId="5086"/>
    <cellStyle name="Percent 23 9 18" xfId="5087"/>
    <cellStyle name="Percent 23 9 19" xfId="5088"/>
    <cellStyle name="Percent 23 9 2" xfId="5089"/>
    <cellStyle name="Percent 23 9 2 2" xfId="5090"/>
    <cellStyle name="Percent 23 9 2 3" xfId="25136"/>
    <cellStyle name="Percent 23 9 2_Forecast" xfId="25137"/>
    <cellStyle name="Percent 23 9 20" xfId="5091"/>
    <cellStyle name="Percent 23 9 21" xfId="5092"/>
    <cellStyle name="Percent 23 9 22" xfId="5093"/>
    <cellStyle name="Percent 23 9 23" xfId="5094"/>
    <cellStyle name="Percent 23 9 24" xfId="5095"/>
    <cellStyle name="Percent 23 9 25" xfId="5096"/>
    <cellStyle name="Percent 23 9 26" xfId="5097"/>
    <cellStyle name="Percent 23 9 27" xfId="5098"/>
    <cellStyle name="Percent 23 9 28" xfId="5099"/>
    <cellStyle name="Percent 23 9 29" xfId="5100"/>
    <cellStyle name="Percent 23 9 3" xfId="5101"/>
    <cellStyle name="Percent 23 9 3 2" xfId="5102"/>
    <cellStyle name="Percent 23 9 3 3" xfId="25138"/>
    <cellStyle name="Percent 23 9 3_Forecast" xfId="25139"/>
    <cellStyle name="Percent 23 9 30" xfId="25140"/>
    <cellStyle name="Percent 23 9 4" xfId="5103"/>
    <cellStyle name="Percent 23 9 4 2" xfId="5104"/>
    <cellStyle name="Percent 23 9 4 3" xfId="25141"/>
    <cellStyle name="Percent 23 9 4_Forecast" xfId="25142"/>
    <cellStyle name="Percent 23 9 5" xfId="5105"/>
    <cellStyle name="Percent 23 9 5 2" xfId="5106"/>
    <cellStyle name="Percent 23 9 5 3" xfId="25143"/>
    <cellStyle name="Percent 23 9 5_Forecast" xfId="25144"/>
    <cellStyle name="Percent 23 9 6" xfId="5107"/>
    <cellStyle name="Percent 23 9 6 2" xfId="5108"/>
    <cellStyle name="Percent 23 9 6 3" xfId="25145"/>
    <cellStyle name="Percent 23 9 6_Forecast" xfId="25146"/>
    <cellStyle name="Percent 23 9 7" xfId="5109"/>
    <cellStyle name="Percent 23 9 7 2" xfId="5110"/>
    <cellStyle name="Percent 23 9 7 3" xfId="25147"/>
    <cellStyle name="Percent 23 9 7_Forecast" xfId="25148"/>
    <cellStyle name="Percent 23 9 8" xfId="5111"/>
    <cellStyle name="Percent 23 9 8 2" xfId="25149"/>
    <cellStyle name="Percent 23 9 8_Forecast" xfId="25150"/>
    <cellStyle name="Percent 23 9 9" xfId="5112"/>
    <cellStyle name="Percent 23 9 9 2" xfId="25151"/>
    <cellStyle name="Percent 23 9 9_Forecast" xfId="25152"/>
    <cellStyle name="Percent 23 9_Forecast" xfId="25153"/>
    <cellStyle name="Percent 23_Forecast" xfId="25154"/>
    <cellStyle name="Percent 24" xfId="5113"/>
    <cellStyle name="Percent 24 10" xfId="5114"/>
    <cellStyle name="Percent 24 10 2" xfId="25155"/>
    <cellStyle name="Percent 24 10_Forecast" xfId="25156"/>
    <cellStyle name="Percent 24 11" xfId="5115"/>
    <cellStyle name="Percent 24 12" xfId="5116"/>
    <cellStyle name="Percent 24 13" xfId="5117"/>
    <cellStyle name="Percent 24 14" xfId="5118"/>
    <cellStyle name="Percent 24 15" xfId="5119"/>
    <cellStyle name="Percent 24 16" xfId="5120"/>
    <cellStyle name="Percent 24 17" xfId="5121"/>
    <cellStyle name="Percent 24 18" xfId="5122"/>
    <cellStyle name="Percent 24 19" xfId="5123"/>
    <cellStyle name="Percent 24 2" xfId="5124"/>
    <cellStyle name="Percent 24 2 2" xfId="5125"/>
    <cellStyle name="Percent 24 2 3" xfId="25157"/>
    <cellStyle name="Percent 24 2_Forecast" xfId="25158"/>
    <cellStyle name="Percent 24 20" xfId="5126"/>
    <cellStyle name="Percent 24 21" xfId="5127"/>
    <cellStyle name="Percent 24 22" xfId="5128"/>
    <cellStyle name="Percent 24 23" xfId="5129"/>
    <cellStyle name="Percent 24 24" xfId="5130"/>
    <cellStyle name="Percent 24 25" xfId="5131"/>
    <cellStyle name="Percent 24 26" xfId="5132"/>
    <cellStyle name="Percent 24 27" xfId="5133"/>
    <cellStyle name="Percent 24 28" xfId="5134"/>
    <cellStyle name="Percent 24 29" xfId="5135"/>
    <cellStyle name="Percent 24 3" xfId="5136"/>
    <cellStyle name="Percent 24 3 2" xfId="5137"/>
    <cellStyle name="Percent 24 3 3" xfId="25159"/>
    <cellStyle name="Percent 24 3_Forecast" xfId="25160"/>
    <cellStyle name="Percent 24 30" xfId="25161"/>
    <cellStyle name="Percent 24 4" xfId="5138"/>
    <cellStyle name="Percent 24 4 2" xfId="5139"/>
    <cellStyle name="Percent 24 4 3" xfId="25162"/>
    <cellStyle name="Percent 24 4_Forecast" xfId="25163"/>
    <cellStyle name="Percent 24 5" xfId="5140"/>
    <cellStyle name="Percent 24 5 2" xfId="5141"/>
    <cellStyle name="Percent 24 5 3" xfId="25164"/>
    <cellStyle name="Percent 24 5_Forecast" xfId="25165"/>
    <cellStyle name="Percent 24 6" xfId="5142"/>
    <cellStyle name="Percent 24 6 2" xfId="5143"/>
    <cellStyle name="Percent 24 6 3" xfId="25166"/>
    <cellStyle name="Percent 24 6_Forecast" xfId="25167"/>
    <cellStyle name="Percent 24 7" xfId="5144"/>
    <cellStyle name="Percent 24 7 2" xfId="5145"/>
    <cellStyle name="Percent 24 7 3" xfId="25168"/>
    <cellStyle name="Percent 24 7_Forecast" xfId="25169"/>
    <cellStyle name="Percent 24 8" xfId="5146"/>
    <cellStyle name="Percent 24 8 2" xfId="25170"/>
    <cellStyle name="Percent 24 8_Forecast" xfId="25171"/>
    <cellStyle name="Percent 24 9" xfId="5147"/>
    <cellStyle name="Percent 24 9 2" xfId="25172"/>
    <cellStyle name="Percent 24 9_Forecast" xfId="25173"/>
    <cellStyle name="Percent 24_Forecast" xfId="25174"/>
    <cellStyle name="Percent 25" xfId="5148"/>
    <cellStyle name="Percent 25 10" xfId="5149"/>
    <cellStyle name="Percent 25 10 2" xfId="5150"/>
    <cellStyle name="Percent 25 10 3" xfId="25175"/>
    <cellStyle name="Percent 25 10_Forecast" xfId="25176"/>
    <cellStyle name="Percent 25 11" xfId="5151"/>
    <cellStyle name="Percent 25 11 2" xfId="5152"/>
    <cellStyle name="Percent 25 11 3" xfId="25177"/>
    <cellStyle name="Percent 25 11_Forecast" xfId="25178"/>
    <cellStyle name="Percent 25 12" xfId="5153"/>
    <cellStyle name="Percent 25 12 2" xfId="5154"/>
    <cellStyle name="Percent 25 12 3" xfId="25179"/>
    <cellStyle name="Percent 25 12_Forecast" xfId="25180"/>
    <cellStyle name="Percent 25 13" xfId="5155"/>
    <cellStyle name="Percent 25 13 2" xfId="5156"/>
    <cellStyle name="Percent 25 13 3" xfId="25181"/>
    <cellStyle name="Percent 25 13_Forecast" xfId="25182"/>
    <cellStyle name="Percent 25 14" xfId="5157"/>
    <cellStyle name="Percent 25 15" xfId="25183"/>
    <cellStyle name="Percent 25 2" xfId="5158"/>
    <cellStyle name="Percent 25 2 2" xfId="5159"/>
    <cellStyle name="Percent 25 2 3" xfId="25184"/>
    <cellStyle name="Percent 25 2_Forecast" xfId="25185"/>
    <cellStyle name="Percent 25 3" xfId="5160"/>
    <cellStyle name="Percent 25 3 2" xfId="5161"/>
    <cellStyle name="Percent 25 3 3" xfId="25186"/>
    <cellStyle name="Percent 25 3_Forecast" xfId="25187"/>
    <cellStyle name="Percent 25 4" xfId="5162"/>
    <cellStyle name="Percent 25 4 2" xfId="5163"/>
    <cellStyle name="Percent 25 4 3" xfId="25188"/>
    <cellStyle name="Percent 25 4_Forecast" xfId="25189"/>
    <cellStyle name="Percent 25 5" xfId="5164"/>
    <cellStyle name="Percent 25 5 2" xfId="5165"/>
    <cellStyle name="Percent 25 5 3" xfId="25190"/>
    <cellStyle name="Percent 25 5_Forecast" xfId="25191"/>
    <cellStyle name="Percent 25 6" xfId="5166"/>
    <cellStyle name="Percent 25 6 2" xfId="5167"/>
    <cellStyle name="Percent 25 6 3" xfId="25192"/>
    <cellStyle name="Percent 25 6_Forecast" xfId="25193"/>
    <cellStyle name="Percent 25 7" xfId="5168"/>
    <cellStyle name="Percent 25 7 2" xfId="5169"/>
    <cellStyle name="Percent 25 7 3" xfId="25194"/>
    <cellStyle name="Percent 25 7_Forecast" xfId="25195"/>
    <cellStyle name="Percent 25 8" xfId="5170"/>
    <cellStyle name="Percent 25 8 2" xfId="5171"/>
    <cellStyle name="Percent 25 8 3" xfId="25196"/>
    <cellStyle name="Percent 25 8_Forecast" xfId="25197"/>
    <cellStyle name="Percent 25 9" xfId="5172"/>
    <cellStyle name="Percent 25 9 2" xfId="5173"/>
    <cellStyle name="Percent 25 9 3" xfId="25198"/>
    <cellStyle name="Percent 25 9_Forecast" xfId="25199"/>
    <cellStyle name="Percent 25_Forecast" xfId="25200"/>
    <cellStyle name="Percent 26" xfId="5174"/>
    <cellStyle name="Percent 26 10" xfId="5175"/>
    <cellStyle name="Percent 26 10 10" xfId="5176"/>
    <cellStyle name="Percent 26 10 10 2" xfId="25201"/>
    <cellStyle name="Percent 26 10 10_Forecast" xfId="25202"/>
    <cellStyle name="Percent 26 10 11" xfId="5177"/>
    <cellStyle name="Percent 26 10 12" xfId="5178"/>
    <cellStyle name="Percent 26 10 13" xfId="5179"/>
    <cellStyle name="Percent 26 10 14" xfId="5180"/>
    <cellStyle name="Percent 26 10 15" xfId="5181"/>
    <cellStyle name="Percent 26 10 16" xfId="5182"/>
    <cellStyle name="Percent 26 10 17" xfId="5183"/>
    <cellStyle name="Percent 26 10 18" xfId="5184"/>
    <cellStyle name="Percent 26 10 19" xfId="5185"/>
    <cellStyle name="Percent 26 10 2" xfId="5186"/>
    <cellStyle name="Percent 26 10 2 2" xfId="5187"/>
    <cellStyle name="Percent 26 10 2 3" xfId="25203"/>
    <cellStyle name="Percent 26 10 2_Forecast" xfId="25204"/>
    <cellStyle name="Percent 26 10 20" xfId="5188"/>
    <cellStyle name="Percent 26 10 21" xfId="5189"/>
    <cellStyle name="Percent 26 10 22" xfId="5190"/>
    <cellStyle name="Percent 26 10 23" xfId="5191"/>
    <cellStyle name="Percent 26 10 24" xfId="5192"/>
    <cellStyle name="Percent 26 10 25" xfId="5193"/>
    <cellStyle name="Percent 26 10 26" xfId="5194"/>
    <cellStyle name="Percent 26 10 27" xfId="5195"/>
    <cellStyle name="Percent 26 10 28" xfId="5196"/>
    <cellStyle name="Percent 26 10 29" xfId="5197"/>
    <cellStyle name="Percent 26 10 3" xfId="5198"/>
    <cellStyle name="Percent 26 10 3 2" xfId="5199"/>
    <cellStyle name="Percent 26 10 3 3" xfId="25205"/>
    <cellStyle name="Percent 26 10 3_Forecast" xfId="25206"/>
    <cellStyle name="Percent 26 10 30" xfId="25207"/>
    <cellStyle name="Percent 26 10 4" xfId="5200"/>
    <cellStyle name="Percent 26 10 4 2" xfId="5201"/>
    <cellStyle name="Percent 26 10 4 3" xfId="25208"/>
    <cellStyle name="Percent 26 10 4_Forecast" xfId="25209"/>
    <cellStyle name="Percent 26 10 5" xfId="5202"/>
    <cellStyle name="Percent 26 10 5 2" xfId="5203"/>
    <cellStyle name="Percent 26 10 5 3" xfId="25210"/>
    <cellStyle name="Percent 26 10 5_Forecast" xfId="25211"/>
    <cellStyle name="Percent 26 10 6" xfId="5204"/>
    <cellStyle name="Percent 26 10 6 2" xfId="5205"/>
    <cellStyle name="Percent 26 10 6 3" xfId="25212"/>
    <cellStyle name="Percent 26 10 6_Forecast" xfId="25213"/>
    <cellStyle name="Percent 26 10 7" xfId="5206"/>
    <cellStyle name="Percent 26 10 7 2" xfId="5207"/>
    <cellStyle name="Percent 26 10 7 3" xfId="25214"/>
    <cellStyle name="Percent 26 10 7_Forecast" xfId="25215"/>
    <cellStyle name="Percent 26 10 8" xfId="5208"/>
    <cellStyle name="Percent 26 10 8 2" xfId="25216"/>
    <cellStyle name="Percent 26 10 8_Forecast" xfId="25217"/>
    <cellStyle name="Percent 26 10 9" xfId="5209"/>
    <cellStyle name="Percent 26 10 9 2" xfId="25218"/>
    <cellStyle name="Percent 26 10 9_Forecast" xfId="25219"/>
    <cellStyle name="Percent 26 10_Forecast" xfId="25220"/>
    <cellStyle name="Percent 26 11" xfId="5210"/>
    <cellStyle name="Percent 26 11 2" xfId="5211"/>
    <cellStyle name="Percent 26 11 3" xfId="25221"/>
    <cellStyle name="Percent 26 11_Forecast" xfId="25222"/>
    <cellStyle name="Percent 26 12" xfId="5212"/>
    <cellStyle name="Percent 26 12 2" xfId="25223"/>
    <cellStyle name="Percent 26 12_Forecast" xfId="25224"/>
    <cellStyle name="Percent 26 13" xfId="5213"/>
    <cellStyle name="Percent 26 13 2" xfId="25225"/>
    <cellStyle name="Percent 26 13_Forecast" xfId="25226"/>
    <cellStyle name="Percent 26 14" xfId="5214"/>
    <cellStyle name="Percent 26 14 2" xfId="25227"/>
    <cellStyle name="Percent 26 14_Forecast" xfId="25228"/>
    <cellStyle name="Percent 26 15" xfId="5215"/>
    <cellStyle name="Percent 26 15 2" xfId="25229"/>
    <cellStyle name="Percent 26 15_Forecast" xfId="25230"/>
    <cellStyle name="Percent 26 16" xfId="5216"/>
    <cellStyle name="Percent 26 16 2" xfId="25231"/>
    <cellStyle name="Percent 26 16_Forecast" xfId="25232"/>
    <cellStyle name="Percent 26 17" xfId="5217"/>
    <cellStyle name="Percent 26 18" xfId="5218"/>
    <cellStyle name="Percent 26 19" xfId="5219"/>
    <cellStyle name="Percent 26 2" xfId="5220"/>
    <cellStyle name="Percent 26 2 10" xfId="5221"/>
    <cellStyle name="Percent 26 2 10 2" xfId="25233"/>
    <cellStyle name="Percent 26 2 10_Forecast" xfId="25234"/>
    <cellStyle name="Percent 26 2 11" xfId="5222"/>
    <cellStyle name="Percent 26 2 12" xfId="5223"/>
    <cellStyle name="Percent 26 2 13" xfId="5224"/>
    <cellStyle name="Percent 26 2 14" xfId="5225"/>
    <cellStyle name="Percent 26 2 15" xfId="5226"/>
    <cellStyle name="Percent 26 2 16" xfId="5227"/>
    <cellStyle name="Percent 26 2 17" xfId="5228"/>
    <cellStyle name="Percent 26 2 18" xfId="5229"/>
    <cellStyle name="Percent 26 2 19" xfId="5230"/>
    <cellStyle name="Percent 26 2 2" xfId="5231"/>
    <cellStyle name="Percent 26 2 2 2" xfId="5232"/>
    <cellStyle name="Percent 26 2 2 3" xfId="25235"/>
    <cellStyle name="Percent 26 2 2_Forecast" xfId="25236"/>
    <cellStyle name="Percent 26 2 20" xfId="5233"/>
    <cellStyle name="Percent 26 2 21" xfId="5234"/>
    <cellStyle name="Percent 26 2 22" xfId="5235"/>
    <cellStyle name="Percent 26 2 23" xfId="5236"/>
    <cellStyle name="Percent 26 2 24" xfId="5237"/>
    <cellStyle name="Percent 26 2 25" xfId="5238"/>
    <cellStyle name="Percent 26 2 26" xfId="5239"/>
    <cellStyle name="Percent 26 2 27" xfId="5240"/>
    <cellStyle name="Percent 26 2 28" xfId="5241"/>
    <cellStyle name="Percent 26 2 29" xfId="5242"/>
    <cellStyle name="Percent 26 2 3" xfId="5243"/>
    <cellStyle name="Percent 26 2 3 2" xfId="5244"/>
    <cellStyle name="Percent 26 2 3 3" xfId="25237"/>
    <cellStyle name="Percent 26 2 3_Forecast" xfId="25238"/>
    <cellStyle name="Percent 26 2 30" xfId="25239"/>
    <cellStyle name="Percent 26 2 4" xfId="5245"/>
    <cellStyle name="Percent 26 2 4 2" xfId="5246"/>
    <cellStyle name="Percent 26 2 4 3" xfId="25240"/>
    <cellStyle name="Percent 26 2 4_Forecast" xfId="25241"/>
    <cellStyle name="Percent 26 2 5" xfId="5247"/>
    <cellStyle name="Percent 26 2 5 2" xfId="5248"/>
    <cellStyle name="Percent 26 2 5 3" xfId="25242"/>
    <cellStyle name="Percent 26 2 5_Forecast" xfId="25243"/>
    <cellStyle name="Percent 26 2 6" xfId="5249"/>
    <cellStyle name="Percent 26 2 6 2" xfId="5250"/>
    <cellStyle name="Percent 26 2 6 3" xfId="25244"/>
    <cellStyle name="Percent 26 2 6_Forecast" xfId="25245"/>
    <cellStyle name="Percent 26 2 7" xfId="5251"/>
    <cellStyle name="Percent 26 2 7 2" xfId="5252"/>
    <cellStyle name="Percent 26 2 7 3" xfId="25246"/>
    <cellStyle name="Percent 26 2 7_Forecast" xfId="25247"/>
    <cellStyle name="Percent 26 2 8" xfId="5253"/>
    <cellStyle name="Percent 26 2 8 2" xfId="25248"/>
    <cellStyle name="Percent 26 2 8_Forecast" xfId="25249"/>
    <cellStyle name="Percent 26 2 9" xfId="5254"/>
    <cellStyle name="Percent 26 2 9 2" xfId="25250"/>
    <cellStyle name="Percent 26 2 9_Forecast" xfId="25251"/>
    <cellStyle name="Percent 26 2_Forecast" xfId="25252"/>
    <cellStyle name="Percent 26 20" xfId="5255"/>
    <cellStyle name="Percent 26 21" xfId="5256"/>
    <cellStyle name="Percent 26 22" xfId="5257"/>
    <cellStyle name="Percent 26 23" xfId="5258"/>
    <cellStyle name="Percent 26 24" xfId="5259"/>
    <cellStyle name="Percent 26 25" xfId="5260"/>
    <cellStyle name="Percent 26 26" xfId="5261"/>
    <cellStyle name="Percent 26 27" xfId="5262"/>
    <cellStyle name="Percent 26 28" xfId="5263"/>
    <cellStyle name="Percent 26 29" xfId="5264"/>
    <cellStyle name="Percent 26 3" xfId="5265"/>
    <cellStyle name="Percent 26 3 10" xfId="5266"/>
    <cellStyle name="Percent 26 3 10 2" xfId="25253"/>
    <cellStyle name="Percent 26 3 10_Forecast" xfId="25254"/>
    <cellStyle name="Percent 26 3 11" xfId="5267"/>
    <cellStyle name="Percent 26 3 12" xfId="5268"/>
    <cellStyle name="Percent 26 3 13" xfId="5269"/>
    <cellStyle name="Percent 26 3 14" xfId="5270"/>
    <cellStyle name="Percent 26 3 15" xfId="5271"/>
    <cellStyle name="Percent 26 3 16" xfId="5272"/>
    <cellStyle name="Percent 26 3 17" xfId="5273"/>
    <cellStyle name="Percent 26 3 18" xfId="5274"/>
    <cellStyle name="Percent 26 3 19" xfId="5275"/>
    <cellStyle name="Percent 26 3 2" xfId="5276"/>
    <cellStyle name="Percent 26 3 2 2" xfId="5277"/>
    <cellStyle name="Percent 26 3 2 3" xfId="25255"/>
    <cellStyle name="Percent 26 3 2_Forecast" xfId="25256"/>
    <cellStyle name="Percent 26 3 20" xfId="5278"/>
    <cellStyle name="Percent 26 3 21" xfId="5279"/>
    <cellStyle name="Percent 26 3 22" xfId="5280"/>
    <cellStyle name="Percent 26 3 23" xfId="5281"/>
    <cellStyle name="Percent 26 3 24" xfId="5282"/>
    <cellStyle name="Percent 26 3 25" xfId="5283"/>
    <cellStyle name="Percent 26 3 26" xfId="5284"/>
    <cellStyle name="Percent 26 3 27" xfId="5285"/>
    <cellStyle name="Percent 26 3 28" xfId="5286"/>
    <cellStyle name="Percent 26 3 29" xfId="5287"/>
    <cellStyle name="Percent 26 3 3" xfId="5288"/>
    <cellStyle name="Percent 26 3 3 2" xfId="5289"/>
    <cellStyle name="Percent 26 3 3 3" xfId="25257"/>
    <cellStyle name="Percent 26 3 3_Forecast" xfId="25258"/>
    <cellStyle name="Percent 26 3 30" xfId="25259"/>
    <cellStyle name="Percent 26 3 4" xfId="5290"/>
    <cellStyle name="Percent 26 3 4 2" xfId="5291"/>
    <cellStyle name="Percent 26 3 4 3" xfId="25260"/>
    <cellStyle name="Percent 26 3 4_Forecast" xfId="25261"/>
    <cellStyle name="Percent 26 3 5" xfId="5292"/>
    <cellStyle name="Percent 26 3 5 2" xfId="5293"/>
    <cellStyle name="Percent 26 3 5 3" xfId="25262"/>
    <cellStyle name="Percent 26 3 5_Forecast" xfId="25263"/>
    <cellStyle name="Percent 26 3 6" xfId="5294"/>
    <cellStyle name="Percent 26 3 6 2" xfId="5295"/>
    <cellStyle name="Percent 26 3 6 3" xfId="25264"/>
    <cellStyle name="Percent 26 3 6_Forecast" xfId="25265"/>
    <cellStyle name="Percent 26 3 7" xfId="5296"/>
    <cellStyle name="Percent 26 3 7 2" xfId="5297"/>
    <cellStyle name="Percent 26 3 7 3" xfId="25266"/>
    <cellStyle name="Percent 26 3 7_Forecast" xfId="25267"/>
    <cellStyle name="Percent 26 3 8" xfId="5298"/>
    <cellStyle name="Percent 26 3 8 2" xfId="25268"/>
    <cellStyle name="Percent 26 3 8_Forecast" xfId="25269"/>
    <cellStyle name="Percent 26 3 9" xfId="5299"/>
    <cellStyle name="Percent 26 3 9 2" xfId="25270"/>
    <cellStyle name="Percent 26 3 9_Forecast" xfId="25271"/>
    <cellStyle name="Percent 26 3_Forecast" xfId="25272"/>
    <cellStyle name="Percent 26 30" xfId="5300"/>
    <cellStyle name="Percent 26 31" xfId="5301"/>
    <cellStyle name="Percent 26 32" xfId="5302"/>
    <cellStyle name="Percent 26 33" xfId="5303"/>
    <cellStyle name="Percent 26 34" xfId="5304"/>
    <cellStyle name="Percent 26 35" xfId="5305"/>
    <cellStyle name="Percent 26 36" xfId="25273"/>
    <cellStyle name="Percent 26 4" xfId="5306"/>
    <cellStyle name="Percent 26 4 10" xfId="5307"/>
    <cellStyle name="Percent 26 4 10 2" xfId="25274"/>
    <cellStyle name="Percent 26 4 10_Forecast" xfId="25275"/>
    <cellStyle name="Percent 26 4 11" xfId="5308"/>
    <cellStyle name="Percent 26 4 12" xfId="5309"/>
    <cellStyle name="Percent 26 4 13" xfId="5310"/>
    <cellStyle name="Percent 26 4 14" xfId="5311"/>
    <cellStyle name="Percent 26 4 15" xfId="5312"/>
    <cellStyle name="Percent 26 4 16" xfId="5313"/>
    <cellStyle name="Percent 26 4 17" xfId="5314"/>
    <cellStyle name="Percent 26 4 18" xfId="5315"/>
    <cellStyle name="Percent 26 4 19" xfId="5316"/>
    <cellStyle name="Percent 26 4 2" xfId="5317"/>
    <cellStyle name="Percent 26 4 2 2" xfId="5318"/>
    <cellStyle name="Percent 26 4 2 3" xfId="25276"/>
    <cellStyle name="Percent 26 4 2_Forecast" xfId="25277"/>
    <cellStyle name="Percent 26 4 20" xfId="5319"/>
    <cellStyle name="Percent 26 4 21" xfId="5320"/>
    <cellStyle name="Percent 26 4 22" xfId="5321"/>
    <cellStyle name="Percent 26 4 23" xfId="5322"/>
    <cellStyle name="Percent 26 4 24" xfId="5323"/>
    <cellStyle name="Percent 26 4 25" xfId="5324"/>
    <cellStyle name="Percent 26 4 26" xfId="5325"/>
    <cellStyle name="Percent 26 4 27" xfId="5326"/>
    <cellStyle name="Percent 26 4 28" xfId="5327"/>
    <cellStyle name="Percent 26 4 29" xfId="5328"/>
    <cellStyle name="Percent 26 4 3" xfId="5329"/>
    <cellStyle name="Percent 26 4 3 2" xfId="5330"/>
    <cellStyle name="Percent 26 4 3 3" xfId="25278"/>
    <cellStyle name="Percent 26 4 3_Forecast" xfId="25279"/>
    <cellStyle name="Percent 26 4 30" xfId="25280"/>
    <cellStyle name="Percent 26 4 4" xfId="5331"/>
    <cellStyle name="Percent 26 4 4 2" xfId="5332"/>
    <cellStyle name="Percent 26 4 4 3" xfId="25281"/>
    <cellStyle name="Percent 26 4 4_Forecast" xfId="25282"/>
    <cellStyle name="Percent 26 4 5" xfId="5333"/>
    <cellStyle name="Percent 26 4 5 2" xfId="5334"/>
    <cellStyle name="Percent 26 4 5 3" xfId="25283"/>
    <cellStyle name="Percent 26 4 5_Forecast" xfId="25284"/>
    <cellStyle name="Percent 26 4 6" xfId="5335"/>
    <cellStyle name="Percent 26 4 6 2" xfId="5336"/>
    <cellStyle name="Percent 26 4 6 3" xfId="25285"/>
    <cellStyle name="Percent 26 4 6_Forecast" xfId="25286"/>
    <cellStyle name="Percent 26 4 7" xfId="5337"/>
    <cellStyle name="Percent 26 4 7 2" xfId="5338"/>
    <cellStyle name="Percent 26 4 7 3" xfId="25287"/>
    <cellStyle name="Percent 26 4 7_Forecast" xfId="25288"/>
    <cellStyle name="Percent 26 4 8" xfId="5339"/>
    <cellStyle name="Percent 26 4 8 2" xfId="25289"/>
    <cellStyle name="Percent 26 4 8_Forecast" xfId="25290"/>
    <cellStyle name="Percent 26 4 9" xfId="5340"/>
    <cellStyle name="Percent 26 4 9 2" xfId="25291"/>
    <cellStyle name="Percent 26 4 9_Forecast" xfId="25292"/>
    <cellStyle name="Percent 26 4_Forecast" xfId="25293"/>
    <cellStyle name="Percent 26 5" xfId="5341"/>
    <cellStyle name="Percent 26 5 10" xfId="5342"/>
    <cellStyle name="Percent 26 5 10 2" xfId="25294"/>
    <cellStyle name="Percent 26 5 10_Forecast" xfId="25295"/>
    <cellStyle name="Percent 26 5 11" xfId="5343"/>
    <cellStyle name="Percent 26 5 12" xfId="5344"/>
    <cellStyle name="Percent 26 5 13" xfId="5345"/>
    <cellStyle name="Percent 26 5 14" xfId="5346"/>
    <cellStyle name="Percent 26 5 15" xfId="5347"/>
    <cellStyle name="Percent 26 5 16" xfId="5348"/>
    <cellStyle name="Percent 26 5 17" xfId="5349"/>
    <cellStyle name="Percent 26 5 18" xfId="5350"/>
    <cellStyle name="Percent 26 5 19" xfId="5351"/>
    <cellStyle name="Percent 26 5 2" xfId="5352"/>
    <cellStyle name="Percent 26 5 2 2" xfId="5353"/>
    <cellStyle name="Percent 26 5 2 3" xfId="25296"/>
    <cellStyle name="Percent 26 5 2_Forecast" xfId="25297"/>
    <cellStyle name="Percent 26 5 20" xfId="5354"/>
    <cellStyle name="Percent 26 5 21" xfId="5355"/>
    <cellStyle name="Percent 26 5 22" xfId="5356"/>
    <cellStyle name="Percent 26 5 23" xfId="5357"/>
    <cellStyle name="Percent 26 5 24" xfId="5358"/>
    <cellStyle name="Percent 26 5 25" xfId="5359"/>
    <cellStyle name="Percent 26 5 26" xfId="5360"/>
    <cellStyle name="Percent 26 5 27" xfId="5361"/>
    <cellStyle name="Percent 26 5 28" xfId="5362"/>
    <cellStyle name="Percent 26 5 29" xfId="5363"/>
    <cellStyle name="Percent 26 5 3" xfId="5364"/>
    <cellStyle name="Percent 26 5 3 2" xfId="5365"/>
    <cellStyle name="Percent 26 5 3 3" xfId="25298"/>
    <cellStyle name="Percent 26 5 3_Forecast" xfId="25299"/>
    <cellStyle name="Percent 26 5 30" xfId="25300"/>
    <cellStyle name="Percent 26 5 4" xfId="5366"/>
    <cellStyle name="Percent 26 5 4 2" xfId="5367"/>
    <cellStyle name="Percent 26 5 4 3" xfId="25301"/>
    <cellStyle name="Percent 26 5 4_Forecast" xfId="25302"/>
    <cellStyle name="Percent 26 5 5" xfId="5368"/>
    <cellStyle name="Percent 26 5 5 2" xfId="5369"/>
    <cellStyle name="Percent 26 5 5 3" xfId="25303"/>
    <cellStyle name="Percent 26 5 5_Forecast" xfId="25304"/>
    <cellStyle name="Percent 26 5 6" xfId="5370"/>
    <cellStyle name="Percent 26 5 6 2" xfId="5371"/>
    <cellStyle name="Percent 26 5 6 3" xfId="25305"/>
    <cellStyle name="Percent 26 5 6_Forecast" xfId="25306"/>
    <cellStyle name="Percent 26 5 7" xfId="5372"/>
    <cellStyle name="Percent 26 5 7 2" xfId="5373"/>
    <cellStyle name="Percent 26 5 7 3" xfId="25307"/>
    <cellStyle name="Percent 26 5 7_Forecast" xfId="25308"/>
    <cellStyle name="Percent 26 5 8" xfId="5374"/>
    <cellStyle name="Percent 26 5 8 2" xfId="25309"/>
    <cellStyle name="Percent 26 5 8_Forecast" xfId="25310"/>
    <cellStyle name="Percent 26 5 9" xfId="5375"/>
    <cellStyle name="Percent 26 5 9 2" xfId="25311"/>
    <cellStyle name="Percent 26 5 9_Forecast" xfId="25312"/>
    <cellStyle name="Percent 26 5_Forecast" xfId="25313"/>
    <cellStyle name="Percent 26 6" xfId="5376"/>
    <cellStyle name="Percent 26 6 10" xfId="5377"/>
    <cellStyle name="Percent 26 6 10 2" xfId="25314"/>
    <cellStyle name="Percent 26 6 10_Forecast" xfId="25315"/>
    <cellStyle name="Percent 26 6 11" xfId="5378"/>
    <cellStyle name="Percent 26 6 12" xfId="5379"/>
    <cellStyle name="Percent 26 6 13" xfId="5380"/>
    <cellStyle name="Percent 26 6 14" xfId="5381"/>
    <cellStyle name="Percent 26 6 15" xfId="5382"/>
    <cellStyle name="Percent 26 6 16" xfId="5383"/>
    <cellStyle name="Percent 26 6 17" xfId="5384"/>
    <cellStyle name="Percent 26 6 18" xfId="5385"/>
    <cellStyle name="Percent 26 6 19" xfId="5386"/>
    <cellStyle name="Percent 26 6 2" xfId="5387"/>
    <cellStyle name="Percent 26 6 2 2" xfId="5388"/>
    <cellStyle name="Percent 26 6 2 3" xfId="25316"/>
    <cellStyle name="Percent 26 6 2_Forecast" xfId="25317"/>
    <cellStyle name="Percent 26 6 20" xfId="5389"/>
    <cellStyle name="Percent 26 6 21" xfId="5390"/>
    <cellStyle name="Percent 26 6 22" xfId="5391"/>
    <cellStyle name="Percent 26 6 23" xfId="5392"/>
    <cellStyle name="Percent 26 6 24" xfId="5393"/>
    <cellStyle name="Percent 26 6 25" xfId="5394"/>
    <cellStyle name="Percent 26 6 26" xfId="5395"/>
    <cellStyle name="Percent 26 6 27" xfId="5396"/>
    <cellStyle name="Percent 26 6 28" xfId="5397"/>
    <cellStyle name="Percent 26 6 29" xfId="5398"/>
    <cellStyle name="Percent 26 6 3" xfId="5399"/>
    <cellStyle name="Percent 26 6 3 2" xfId="5400"/>
    <cellStyle name="Percent 26 6 3 3" xfId="25318"/>
    <cellStyle name="Percent 26 6 3_Forecast" xfId="25319"/>
    <cellStyle name="Percent 26 6 30" xfId="25320"/>
    <cellStyle name="Percent 26 6 4" xfId="5401"/>
    <cellStyle name="Percent 26 6 4 2" xfId="5402"/>
    <cellStyle name="Percent 26 6 4 3" xfId="25321"/>
    <cellStyle name="Percent 26 6 4_Forecast" xfId="25322"/>
    <cellStyle name="Percent 26 6 5" xfId="5403"/>
    <cellStyle name="Percent 26 6 5 2" xfId="5404"/>
    <cellStyle name="Percent 26 6 5 3" xfId="25323"/>
    <cellStyle name="Percent 26 6 5_Forecast" xfId="25324"/>
    <cellStyle name="Percent 26 6 6" xfId="5405"/>
    <cellStyle name="Percent 26 6 6 2" xfId="5406"/>
    <cellStyle name="Percent 26 6 6 3" xfId="25325"/>
    <cellStyle name="Percent 26 6 6_Forecast" xfId="25326"/>
    <cellStyle name="Percent 26 6 7" xfId="5407"/>
    <cellStyle name="Percent 26 6 7 2" xfId="5408"/>
    <cellStyle name="Percent 26 6 7 3" xfId="25327"/>
    <cellStyle name="Percent 26 6 7_Forecast" xfId="25328"/>
    <cellStyle name="Percent 26 6 8" xfId="5409"/>
    <cellStyle name="Percent 26 6 8 2" xfId="25329"/>
    <cellStyle name="Percent 26 6 8_Forecast" xfId="25330"/>
    <cellStyle name="Percent 26 6 9" xfId="5410"/>
    <cellStyle name="Percent 26 6 9 2" xfId="25331"/>
    <cellStyle name="Percent 26 6 9_Forecast" xfId="25332"/>
    <cellStyle name="Percent 26 6_Forecast" xfId="25333"/>
    <cellStyle name="Percent 26 7" xfId="5411"/>
    <cellStyle name="Percent 26 7 10" xfId="5412"/>
    <cellStyle name="Percent 26 7 10 2" xfId="25334"/>
    <cellStyle name="Percent 26 7 10_Forecast" xfId="25335"/>
    <cellStyle name="Percent 26 7 11" xfId="5413"/>
    <cellStyle name="Percent 26 7 12" xfId="5414"/>
    <cellStyle name="Percent 26 7 13" xfId="5415"/>
    <cellStyle name="Percent 26 7 14" xfId="5416"/>
    <cellStyle name="Percent 26 7 15" xfId="5417"/>
    <cellStyle name="Percent 26 7 16" xfId="5418"/>
    <cellStyle name="Percent 26 7 17" xfId="5419"/>
    <cellStyle name="Percent 26 7 18" xfId="5420"/>
    <cellStyle name="Percent 26 7 19" xfId="5421"/>
    <cellStyle name="Percent 26 7 2" xfId="5422"/>
    <cellStyle name="Percent 26 7 2 2" xfId="5423"/>
    <cellStyle name="Percent 26 7 2 3" xfId="25336"/>
    <cellStyle name="Percent 26 7 2_Forecast" xfId="25337"/>
    <cellStyle name="Percent 26 7 20" xfId="5424"/>
    <cellStyle name="Percent 26 7 21" xfId="5425"/>
    <cellStyle name="Percent 26 7 22" xfId="5426"/>
    <cellStyle name="Percent 26 7 23" xfId="5427"/>
    <cellStyle name="Percent 26 7 24" xfId="5428"/>
    <cellStyle name="Percent 26 7 25" xfId="5429"/>
    <cellStyle name="Percent 26 7 26" xfId="5430"/>
    <cellStyle name="Percent 26 7 27" xfId="5431"/>
    <cellStyle name="Percent 26 7 28" xfId="5432"/>
    <cellStyle name="Percent 26 7 29" xfId="5433"/>
    <cellStyle name="Percent 26 7 3" xfId="5434"/>
    <cellStyle name="Percent 26 7 3 2" xfId="5435"/>
    <cellStyle name="Percent 26 7 3 3" xfId="25338"/>
    <cellStyle name="Percent 26 7 3_Forecast" xfId="25339"/>
    <cellStyle name="Percent 26 7 30" xfId="25340"/>
    <cellStyle name="Percent 26 7 4" xfId="5436"/>
    <cellStyle name="Percent 26 7 4 2" xfId="5437"/>
    <cellStyle name="Percent 26 7 4 3" xfId="25341"/>
    <cellStyle name="Percent 26 7 4_Forecast" xfId="25342"/>
    <cellStyle name="Percent 26 7 5" xfId="5438"/>
    <cellStyle name="Percent 26 7 5 2" xfId="5439"/>
    <cellStyle name="Percent 26 7 5 3" xfId="25343"/>
    <cellStyle name="Percent 26 7 5_Forecast" xfId="25344"/>
    <cellStyle name="Percent 26 7 6" xfId="5440"/>
    <cellStyle name="Percent 26 7 6 2" xfId="5441"/>
    <cellStyle name="Percent 26 7 6 3" xfId="25345"/>
    <cellStyle name="Percent 26 7 6_Forecast" xfId="25346"/>
    <cellStyle name="Percent 26 7 7" xfId="5442"/>
    <cellStyle name="Percent 26 7 7 2" xfId="5443"/>
    <cellStyle name="Percent 26 7 7 3" xfId="25347"/>
    <cellStyle name="Percent 26 7 7_Forecast" xfId="25348"/>
    <cellStyle name="Percent 26 7 8" xfId="5444"/>
    <cellStyle name="Percent 26 7 8 2" xfId="25349"/>
    <cellStyle name="Percent 26 7 8_Forecast" xfId="25350"/>
    <cellStyle name="Percent 26 7 9" xfId="5445"/>
    <cellStyle name="Percent 26 7 9 2" xfId="25351"/>
    <cellStyle name="Percent 26 7 9_Forecast" xfId="25352"/>
    <cellStyle name="Percent 26 7_Forecast" xfId="25353"/>
    <cellStyle name="Percent 26 8" xfId="5446"/>
    <cellStyle name="Percent 26 8 10" xfId="5447"/>
    <cellStyle name="Percent 26 8 10 2" xfId="25354"/>
    <cellStyle name="Percent 26 8 10_Forecast" xfId="25355"/>
    <cellStyle name="Percent 26 8 11" xfId="5448"/>
    <cellStyle name="Percent 26 8 12" xfId="5449"/>
    <cellStyle name="Percent 26 8 13" xfId="5450"/>
    <cellStyle name="Percent 26 8 14" xfId="5451"/>
    <cellStyle name="Percent 26 8 15" xfId="5452"/>
    <cellStyle name="Percent 26 8 16" xfId="5453"/>
    <cellStyle name="Percent 26 8 17" xfId="5454"/>
    <cellStyle name="Percent 26 8 18" xfId="5455"/>
    <cellStyle name="Percent 26 8 19" xfId="5456"/>
    <cellStyle name="Percent 26 8 2" xfId="5457"/>
    <cellStyle name="Percent 26 8 2 2" xfId="5458"/>
    <cellStyle name="Percent 26 8 2 3" xfId="25356"/>
    <cellStyle name="Percent 26 8 2_Forecast" xfId="25357"/>
    <cellStyle name="Percent 26 8 20" xfId="5459"/>
    <cellStyle name="Percent 26 8 21" xfId="5460"/>
    <cellStyle name="Percent 26 8 22" xfId="5461"/>
    <cellStyle name="Percent 26 8 23" xfId="5462"/>
    <cellStyle name="Percent 26 8 24" xfId="5463"/>
    <cellStyle name="Percent 26 8 25" xfId="5464"/>
    <cellStyle name="Percent 26 8 26" xfId="5465"/>
    <cellStyle name="Percent 26 8 27" xfId="5466"/>
    <cellStyle name="Percent 26 8 28" xfId="5467"/>
    <cellStyle name="Percent 26 8 29" xfId="5468"/>
    <cellStyle name="Percent 26 8 3" xfId="5469"/>
    <cellStyle name="Percent 26 8 3 2" xfId="5470"/>
    <cellStyle name="Percent 26 8 3 3" xfId="25358"/>
    <cellStyle name="Percent 26 8 3_Forecast" xfId="25359"/>
    <cellStyle name="Percent 26 8 30" xfId="25360"/>
    <cellStyle name="Percent 26 8 4" xfId="5471"/>
    <cellStyle name="Percent 26 8 4 2" xfId="5472"/>
    <cellStyle name="Percent 26 8 4 3" xfId="25361"/>
    <cellStyle name="Percent 26 8 4_Forecast" xfId="25362"/>
    <cellStyle name="Percent 26 8 5" xfId="5473"/>
    <cellStyle name="Percent 26 8 5 2" xfId="5474"/>
    <cellStyle name="Percent 26 8 5 3" xfId="25363"/>
    <cellStyle name="Percent 26 8 5_Forecast" xfId="25364"/>
    <cellStyle name="Percent 26 8 6" xfId="5475"/>
    <cellStyle name="Percent 26 8 6 2" xfId="5476"/>
    <cellStyle name="Percent 26 8 6 3" xfId="25365"/>
    <cellStyle name="Percent 26 8 6_Forecast" xfId="25366"/>
    <cellStyle name="Percent 26 8 7" xfId="5477"/>
    <cellStyle name="Percent 26 8 7 2" xfId="5478"/>
    <cellStyle name="Percent 26 8 7 3" xfId="25367"/>
    <cellStyle name="Percent 26 8 7_Forecast" xfId="25368"/>
    <cellStyle name="Percent 26 8 8" xfId="5479"/>
    <cellStyle name="Percent 26 8 8 2" xfId="25369"/>
    <cellStyle name="Percent 26 8 8_Forecast" xfId="25370"/>
    <cellStyle name="Percent 26 8 9" xfId="5480"/>
    <cellStyle name="Percent 26 8 9 2" xfId="25371"/>
    <cellStyle name="Percent 26 8 9_Forecast" xfId="25372"/>
    <cellStyle name="Percent 26 8_Forecast" xfId="25373"/>
    <cellStyle name="Percent 26 9" xfId="5481"/>
    <cellStyle name="Percent 26 9 10" xfId="5482"/>
    <cellStyle name="Percent 26 9 10 2" xfId="25374"/>
    <cellStyle name="Percent 26 9 10_Forecast" xfId="25375"/>
    <cellStyle name="Percent 26 9 11" xfId="5483"/>
    <cellStyle name="Percent 26 9 12" xfId="5484"/>
    <cellStyle name="Percent 26 9 13" xfId="5485"/>
    <cellStyle name="Percent 26 9 14" xfId="5486"/>
    <cellStyle name="Percent 26 9 15" xfId="5487"/>
    <cellStyle name="Percent 26 9 16" xfId="5488"/>
    <cellStyle name="Percent 26 9 17" xfId="5489"/>
    <cellStyle name="Percent 26 9 18" xfId="5490"/>
    <cellStyle name="Percent 26 9 19" xfId="5491"/>
    <cellStyle name="Percent 26 9 2" xfId="5492"/>
    <cellStyle name="Percent 26 9 2 2" xfId="5493"/>
    <cellStyle name="Percent 26 9 2 3" xfId="25376"/>
    <cellStyle name="Percent 26 9 2_Forecast" xfId="25377"/>
    <cellStyle name="Percent 26 9 20" xfId="5494"/>
    <cellStyle name="Percent 26 9 21" xfId="5495"/>
    <cellStyle name="Percent 26 9 22" xfId="5496"/>
    <cellStyle name="Percent 26 9 23" xfId="5497"/>
    <cellStyle name="Percent 26 9 24" xfId="5498"/>
    <cellStyle name="Percent 26 9 25" xfId="5499"/>
    <cellStyle name="Percent 26 9 26" xfId="5500"/>
    <cellStyle name="Percent 26 9 27" xfId="5501"/>
    <cellStyle name="Percent 26 9 28" xfId="5502"/>
    <cellStyle name="Percent 26 9 29" xfId="5503"/>
    <cellStyle name="Percent 26 9 3" xfId="5504"/>
    <cellStyle name="Percent 26 9 3 2" xfId="5505"/>
    <cellStyle name="Percent 26 9 3 3" xfId="25378"/>
    <cellStyle name="Percent 26 9 3_Forecast" xfId="25379"/>
    <cellStyle name="Percent 26 9 30" xfId="25380"/>
    <cellStyle name="Percent 26 9 4" xfId="5506"/>
    <cellStyle name="Percent 26 9 4 2" xfId="5507"/>
    <cellStyle name="Percent 26 9 4 3" xfId="25381"/>
    <cellStyle name="Percent 26 9 4_Forecast" xfId="25382"/>
    <cellStyle name="Percent 26 9 5" xfId="5508"/>
    <cellStyle name="Percent 26 9 5 2" xfId="5509"/>
    <cellStyle name="Percent 26 9 5 3" xfId="25383"/>
    <cellStyle name="Percent 26 9 5_Forecast" xfId="25384"/>
    <cellStyle name="Percent 26 9 6" xfId="5510"/>
    <cellStyle name="Percent 26 9 6 2" xfId="5511"/>
    <cellStyle name="Percent 26 9 6 3" xfId="25385"/>
    <cellStyle name="Percent 26 9 6_Forecast" xfId="25386"/>
    <cellStyle name="Percent 26 9 7" xfId="5512"/>
    <cellStyle name="Percent 26 9 7 2" xfId="5513"/>
    <cellStyle name="Percent 26 9 7 3" xfId="25387"/>
    <cellStyle name="Percent 26 9 7_Forecast" xfId="25388"/>
    <cellStyle name="Percent 26 9 8" xfId="5514"/>
    <cellStyle name="Percent 26 9 8 2" xfId="25389"/>
    <cellStyle name="Percent 26 9 8_Forecast" xfId="25390"/>
    <cellStyle name="Percent 26 9 9" xfId="5515"/>
    <cellStyle name="Percent 26 9 9 2" xfId="25391"/>
    <cellStyle name="Percent 26 9 9_Forecast" xfId="25392"/>
    <cellStyle name="Percent 26 9_Forecast" xfId="25393"/>
    <cellStyle name="Percent 26_Forecast" xfId="25394"/>
    <cellStyle name="Percent 27" xfId="5516"/>
    <cellStyle name="Percent 27 10" xfId="5517"/>
    <cellStyle name="Percent 27 10 10" xfId="5518"/>
    <cellStyle name="Percent 27 10 10 2" xfId="25395"/>
    <cellStyle name="Percent 27 10 10_Forecast" xfId="25396"/>
    <cellStyle name="Percent 27 10 11" xfId="5519"/>
    <cellStyle name="Percent 27 10 12" xfId="5520"/>
    <cellStyle name="Percent 27 10 13" xfId="5521"/>
    <cellStyle name="Percent 27 10 14" xfId="5522"/>
    <cellStyle name="Percent 27 10 15" xfId="5523"/>
    <cellStyle name="Percent 27 10 16" xfId="5524"/>
    <cellStyle name="Percent 27 10 17" xfId="5525"/>
    <cellStyle name="Percent 27 10 18" xfId="5526"/>
    <cellStyle name="Percent 27 10 19" xfId="5527"/>
    <cellStyle name="Percent 27 10 2" xfId="5528"/>
    <cellStyle name="Percent 27 10 2 2" xfId="5529"/>
    <cellStyle name="Percent 27 10 2 3" xfId="25397"/>
    <cellStyle name="Percent 27 10 2_Forecast" xfId="25398"/>
    <cellStyle name="Percent 27 10 20" xfId="5530"/>
    <cellStyle name="Percent 27 10 21" xfId="5531"/>
    <cellStyle name="Percent 27 10 22" xfId="5532"/>
    <cellStyle name="Percent 27 10 23" xfId="5533"/>
    <cellStyle name="Percent 27 10 24" xfId="5534"/>
    <cellStyle name="Percent 27 10 25" xfId="5535"/>
    <cellStyle name="Percent 27 10 26" xfId="5536"/>
    <cellStyle name="Percent 27 10 27" xfId="5537"/>
    <cellStyle name="Percent 27 10 28" xfId="5538"/>
    <cellStyle name="Percent 27 10 29" xfId="5539"/>
    <cellStyle name="Percent 27 10 3" xfId="5540"/>
    <cellStyle name="Percent 27 10 3 2" xfId="5541"/>
    <cellStyle name="Percent 27 10 3 3" xfId="25399"/>
    <cellStyle name="Percent 27 10 3_Forecast" xfId="25400"/>
    <cellStyle name="Percent 27 10 30" xfId="25401"/>
    <cellStyle name="Percent 27 10 4" xfId="5542"/>
    <cellStyle name="Percent 27 10 4 2" xfId="5543"/>
    <cellStyle name="Percent 27 10 4 3" xfId="25402"/>
    <cellStyle name="Percent 27 10 4_Forecast" xfId="25403"/>
    <cellStyle name="Percent 27 10 5" xfId="5544"/>
    <cellStyle name="Percent 27 10 5 2" xfId="5545"/>
    <cellStyle name="Percent 27 10 5 3" xfId="25404"/>
    <cellStyle name="Percent 27 10 5_Forecast" xfId="25405"/>
    <cellStyle name="Percent 27 10 6" xfId="5546"/>
    <cellStyle name="Percent 27 10 6 2" xfId="5547"/>
    <cellStyle name="Percent 27 10 6 3" xfId="25406"/>
    <cellStyle name="Percent 27 10 6_Forecast" xfId="25407"/>
    <cellStyle name="Percent 27 10 7" xfId="5548"/>
    <cellStyle name="Percent 27 10 7 2" xfId="5549"/>
    <cellStyle name="Percent 27 10 7 3" xfId="25408"/>
    <cellStyle name="Percent 27 10 7_Forecast" xfId="25409"/>
    <cellStyle name="Percent 27 10 8" xfId="5550"/>
    <cellStyle name="Percent 27 10 8 2" xfId="25410"/>
    <cellStyle name="Percent 27 10 8_Forecast" xfId="25411"/>
    <cellStyle name="Percent 27 10 9" xfId="5551"/>
    <cellStyle name="Percent 27 10 9 2" xfId="25412"/>
    <cellStyle name="Percent 27 10 9_Forecast" xfId="25413"/>
    <cellStyle name="Percent 27 10_Forecast" xfId="25414"/>
    <cellStyle name="Percent 27 11" xfId="5552"/>
    <cellStyle name="Percent 27 11 10" xfId="5553"/>
    <cellStyle name="Percent 27 11 10 2" xfId="25415"/>
    <cellStyle name="Percent 27 11 10_Forecast" xfId="25416"/>
    <cellStyle name="Percent 27 11 11" xfId="5554"/>
    <cellStyle name="Percent 27 11 12" xfId="5555"/>
    <cellStyle name="Percent 27 11 13" xfId="5556"/>
    <cellStyle name="Percent 27 11 14" xfId="5557"/>
    <cellStyle name="Percent 27 11 15" xfId="5558"/>
    <cellStyle name="Percent 27 11 16" xfId="5559"/>
    <cellStyle name="Percent 27 11 17" xfId="5560"/>
    <cellStyle name="Percent 27 11 18" xfId="5561"/>
    <cellStyle name="Percent 27 11 19" xfId="5562"/>
    <cellStyle name="Percent 27 11 2" xfId="5563"/>
    <cellStyle name="Percent 27 11 2 2" xfId="5564"/>
    <cellStyle name="Percent 27 11 2 3" xfId="25417"/>
    <cellStyle name="Percent 27 11 2_Forecast" xfId="25418"/>
    <cellStyle name="Percent 27 11 20" xfId="5565"/>
    <cellStyle name="Percent 27 11 21" xfId="5566"/>
    <cellStyle name="Percent 27 11 22" xfId="5567"/>
    <cellStyle name="Percent 27 11 23" xfId="5568"/>
    <cellStyle name="Percent 27 11 24" xfId="5569"/>
    <cellStyle name="Percent 27 11 25" xfId="5570"/>
    <cellStyle name="Percent 27 11 26" xfId="5571"/>
    <cellStyle name="Percent 27 11 27" xfId="5572"/>
    <cellStyle name="Percent 27 11 28" xfId="5573"/>
    <cellStyle name="Percent 27 11 29" xfId="5574"/>
    <cellStyle name="Percent 27 11 3" xfId="5575"/>
    <cellStyle name="Percent 27 11 3 2" xfId="5576"/>
    <cellStyle name="Percent 27 11 3 3" xfId="25419"/>
    <cellStyle name="Percent 27 11 3_Forecast" xfId="25420"/>
    <cellStyle name="Percent 27 11 30" xfId="25421"/>
    <cellStyle name="Percent 27 11 4" xfId="5577"/>
    <cellStyle name="Percent 27 11 4 2" xfId="5578"/>
    <cellStyle name="Percent 27 11 4 3" xfId="25422"/>
    <cellStyle name="Percent 27 11 4_Forecast" xfId="25423"/>
    <cellStyle name="Percent 27 11 5" xfId="5579"/>
    <cellStyle name="Percent 27 11 5 2" xfId="5580"/>
    <cellStyle name="Percent 27 11 5 3" xfId="25424"/>
    <cellStyle name="Percent 27 11 5_Forecast" xfId="25425"/>
    <cellStyle name="Percent 27 11 6" xfId="5581"/>
    <cellStyle name="Percent 27 11 6 2" xfId="5582"/>
    <cellStyle name="Percent 27 11 6 3" xfId="25426"/>
    <cellStyle name="Percent 27 11 6_Forecast" xfId="25427"/>
    <cellStyle name="Percent 27 11 7" xfId="5583"/>
    <cellStyle name="Percent 27 11 7 2" xfId="5584"/>
    <cellStyle name="Percent 27 11 7 3" xfId="25428"/>
    <cellStyle name="Percent 27 11 7_Forecast" xfId="25429"/>
    <cellStyle name="Percent 27 11 8" xfId="5585"/>
    <cellStyle name="Percent 27 11 8 2" xfId="25430"/>
    <cellStyle name="Percent 27 11 8_Forecast" xfId="25431"/>
    <cellStyle name="Percent 27 11 9" xfId="5586"/>
    <cellStyle name="Percent 27 11 9 2" xfId="25432"/>
    <cellStyle name="Percent 27 11 9_Forecast" xfId="25433"/>
    <cellStyle name="Percent 27 11_Forecast" xfId="25434"/>
    <cellStyle name="Percent 27 12" xfId="5587"/>
    <cellStyle name="Percent 27 12 10" xfId="5588"/>
    <cellStyle name="Percent 27 12 10 2" xfId="25435"/>
    <cellStyle name="Percent 27 12 10_Forecast" xfId="25436"/>
    <cellStyle name="Percent 27 12 11" xfId="5589"/>
    <cellStyle name="Percent 27 12 12" xfId="5590"/>
    <cellStyle name="Percent 27 12 13" xfId="5591"/>
    <cellStyle name="Percent 27 12 14" xfId="5592"/>
    <cellStyle name="Percent 27 12 15" xfId="5593"/>
    <cellStyle name="Percent 27 12 16" xfId="5594"/>
    <cellStyle name="Percent 27 12 17" xfId="5595"/>
    <cellStyle name="Percent 27 12 18" xfId="5596"/>
    <cellStyle name="Percent 27 12 19" xfId="5597"/>
    <cellStyle name="Percent 27 12 2" xfId="5598"/>
    <cellStyle name="Percent 27 12 2 2" xfId="5599"/>
    <cellStyle name="Percent 27 12 2 3" xfId="25437"/>
    <cellStyle name="Percent 27 12 2_Forecast" xfId="25438"/>
    <cellStyle name="Percent 27 12 20" xfId="5600"/>
    <cellStyle name="Percent 27 12 21" xfId="5601"/>
    <cellStyle name="Percent 27 12 22" xfId="5602"/>
    <cellStyle name="Percent 27 12 23" xfId="5603"/>
    <cellStyle name="Percent 27 12 24" xfId="5604"/>
    <cellStyle name="Percent 27 12 25" xfId="5605"/>
    <cellStyle name="Percent 27 12 26" xfId="5606"/>
    <cellStyle name="Percent 27 12 27" xfId="5607"/>
    <cellStyle name="Percent 27 12 28" xfId="5608"/>
    <cellStyle name="Percent 27 12 29" xfId="5609"/>
    <cellStyle name="Percent 27 12 3" xfId="5610"/>
    <cellStyle name="Percent 27 12 3 2" xfId="5611"/>
    <cellStyle name="Percent 27 12 3 3" xfId="25439"/>
    <cellStyle name="Percent 27 12 3_Forecast" xfId="25440"/>
    <cellStyle name="Percent 27 12 30" xfId="25441"/>
    <cellStyle name="Percent 27 12 4" xfId="5612"/>
    <cellStyle name="Percent 27 12 4 2" xfId="5613"/>
    <cellStyle name="Percent 27 12 4 3" xfId="25442"/>
    <cellStyle name="Percent 27 12 4_Forecast" xfId="25443"/>
    <cellStyle name="Percent 27 12 5" xfId="5614"/>
    <cellStyle name="Percent 27 12 5 2" xfId="5615"/>
    <cellStyle name="Percent 27 12 5 3" xfId="25444"/>
    <cellStyle name="Percent 27 12 5_Forecast" xfId="25445"/>
    <cellStyle name="Percent 27 12 6" xfId="5616"/>
    <cellStyle name="Percent 27 12 6 2" xfId="5617"/>
    <cellStyle name="Percent 27 12 6 3" xfId="25446"/>
    <cellStyle name="Percent 27 12 6_Forecast" xfId="25447"/>
    <cellStyle name="Percent 27 12 7" xfId="5618"/>
    <cellStyle name="Percent 27 12 7 2" xfId="5619"/>
    <cellStyle name="Percent 27 12 7 3" xfId="25448"/>
    <cellStyle name="Percent 27 12 7_Forecast" xfId="25449"/>
    <cellStyle name="Percent 27 12 8" xfId="5620"/>
    <cellStyle name="Percent 27 12 8 2" xfId="25450"/>
    <cellStyle name="Percent 27 12 8_Forecast" xfId="25451"/>
    <cellStyle name="Percent 27 12 9" xfId="5621"/>
    <cellStyle name="Percent 27 12 9 2" xfId="25452"/>
    <cellStyle name="Percent 27 12 9_Forecast" xfId="25453"/>
    <cellStyle name="Percent 27 12_Forecast" xfId="25454"/>
    <cellStyle name="Percent 27 13" xfId="5622"/>
    <cellStyle name="Percent 27 13 10" xfId="5623"/>
    <cellStyle name="Percent 27 13 10 2" xfId="25455"/>
    <cellStyle name="Percent 27 13 10_Forecast" xfId="25456"/>
    <cellStyle name="Percent 27 13 11" xfId="5624"/>
    <cellStyle name="Percent 27 13 12" xfId="5625"/>
    <cellStyle name="Percent 27 13 13" xfId="5626"/>
    <cellStyle name="Percent 27 13 14" xfId="5627"/>
    <cellStyle name="Percent 27 13 15" xfId="5628"/>
    <cellStyle name="Percent 27 13 16" xfId="5629"/>
    <cellStyle name="Percent 27 13 17" xfId="5630"/>
    <cellStyle name="Percent 27 13 18" xfId="5631"/>
    <cellStyle name="Percent 27 13 19" xfId="5632"/>
    <cellStyle name="Percent 27 13 2" xfId="5633"/>
    <cellStyle name="Percent 27 13 2 2" xfId="5634"/>
    <cellStyle name="Percent 27 13 2 3" xfId="25457"/>
    <cellStyle name="Percent 27 13 2_Forecast" xfId="25458"/>
    <cellStyle name="Percent 27 13 20" xfId="5635"/>
    <cellStyle name="Percent 27 13 21" xfId="5636"/>
    <cellStyle name="Percent 27 13 22" xfId="5637"/>
    <cellStyle name="Percent 27 13 23" xfId="5638"/>
    <cellStyle name="Percent 27 13 24" xfId="5639"/>
    <cellStyle name="Percent 27 13 25" xfId="5640"/>
    <cellStyle name="Percent 27 13 26" xfId="5641"/>
    <cellStyle name="Percent 27 13 27" xfId="5642"/>
    <cellStyle name="Percent 27 13 28" xfId="5643"/>
    <cellStyle name="Percent 27 13 29" xfId="5644"/>
    <cellStyle name="Percent 27 13 3" xfId="5645"/>
    <cellStyle name="Percent 27 13 3 2" xfId="5646"/>
    <cellStyle name="Percent 27 13 3 3" xfId="25459"/>
    <cellStyle name="Percent 27 13 3_Forecast" xfId="25460"/>
    <cellStyle name="Percent 27 13 30" xfId="25461"/>
    <cellStyle name="Percent 27 13 4" xfId="5647"/>
    <cellStyle name="Percent 27 13 4 2" xfId="5648"/>
    <cellStyle name="Percent 27 13 4 3" xfId="25462"/>
    <cellStyle name="Percent 27 13 4_Forecast" xfId="25463"/>
    <cellStyle name="Percent 27 13 5" xfId="5649"/>
    <cellStyle name="Percent 27 13 5 2" xfId="5650"/>
    <cellStyle name="Percent 27 13 5 3" xfId="25464"/>
    <cellStyle name="Percent 27 13 5_Forecast" xfId="25465"/>
    <cellStyle name="Percent 27 13 6" xfId="5651"/>
    <cellStyle name="Percent 27 13 6 2" xfId="5652"/>
    <cellStyle name="Percent 27 13 6 3" xfId="25466"/>
    <cellStyle name="Percent 27 13 6_Forecast" xfId="25467"/>
    <cellStyle name="Percent 27 13 7" xfId="5653"/>
    <cellStyle name="Percent 27 13 7 2" xfId="5654"/>
    <cellStyle name="Percent 27 13 7 3" xfId="25468"/>
    <cellStyle name="Percent 27 13 7_Forecast" xfId="25469"/>
    <cellStyle name="Percent 27 13 8" xfId="5655"/>
    <cellStyle name="Percent 27 13 8 2" xfId="25470"/>
    <cellStyle name="Percent 27 13 8_Forecast" xfId="25471"/>
    <cellStyle name="Percent 27 13 9" xfId="5656"/>
    <cellStyle name="Percent 27 13 9 2" xfId="25472"/>
    <cellStyle name="Percent 27 13 9_Forecast" xfId="25473"/>
    <cellStyle name="Percent 27 13_Forecast" xfId="25474"/>
    <cellStyle name="Percent 27 14" xfId="5657"/>
    <cellStyle name="Percent 27 14 2" xfId="5658"/>
    <cellStyle name="Percent 27 14 3" xfId="25475"/>
    <cellStyle name="Percent 27 14_Forecast" xfId="25476"/>
    <cellStyle name="Percent 27 15" xfId="5659"/>
    <cellStyle name="Percent 27 15 2" xfId="25477"/>
    <cellStyle name="Percent 27 15_Forecast" xfId="25478"/>
    <cellStyle name="Percent 27 16" xfId="5660"/>
    <cellStyle name="Percent 27 16 2" xfId="25479"/>
    <cellStyle name="Percent 27 16_Forecast" xfId="25480"/>
    <cellStyle name="Percent 27 17" xfId="5661"/>
    <cellStyle name="Percent 27 17 2" xfId="25481"/>
    <cellStyle name="Percent 27 17_Forecast" xfId="25482"/>
    <cellStyle name="Percent 27 18" xfId="5662"/>
    <cellStyle name="Percent 27 18 2" xfId="25483"/>
    <cellStyle name="Percent 27 18_Forecast" xfId="25484"/>
    <cellStyle name="Percent 27 19" xfId="5663"/>
    <cellStyle name="Percent 27 19 2" xfId="25485"/>
    <cellStyle name="Percent 27 19_Forecast" xfId="25486"/>
    <cellStyle name="Percent 27 2" xfId="5664"/>
    <cellStyle name="Percent 27 2 10" xfId="5665"/>
    <cellStyle name="Percent 27 2 10 2" xfId="25487"/>
    <cellStyle name="Percent 27 2 10_Forecast" xfId="25488"/>
    <cellStyle name="Percent 27 2 11" xfId="5666"/>
    <cellStyle name="Percent 27 2 12" xfId="5667"/>
    <cellStyle name="Percent 27 2 13" xfId="5668"/>
    <cellStyle name="Percent 27 2 14" xfId="5669"/>
    <cellStyle name="Percent 27 2 15" xfId="5670"/>
    <cellStyle name="Percent 27 2 16" xfId="5671"/>
    <cellStyle name="Percent 27 2 17" xfId="5672"/>
    <cellStyle name="Percent 27 2 18" xfId="5673"/>
    <cellStyle name="Percent 27 2 19" xfId="5674"/>
    <cellStyle name="Percent 27 2 2" xfId="5675"/>
    <cellStyle name="Percent 27 2 2 2" xfId="5676"/>
    <cellStyle name="Percent 27 2 2 3" xfId="25489"/>
    <cellStyle name="Percent 27 2 2_Forecast" xfId="25490"/>
    <cellStyle name="Percent 27 2 20" xfId="5677"/>
    <cellStyle name="Percent 27 2 21" xfId="5678"/>
    <cellStyle name="Percent 27 2 22" xfId="5679"/>
    <cellStyle name="Percent 27 2 23" xfId="5680"/>
    <cellStyle name="Percent 27 2 24" xfId="5681"/>
    <cellStyle name="Percent 27 2 25" xfId="5682"/>
    <cellStyle name="Percent 27 2 26" xfId="5683"/>
    <cellStyle name="Percent 27 2 27" xfId="5684"/>
    <cellStyle name="Percent 27 2 28" xfId="5685"/>
    <cellStyle name="Percent 27 2 29" xfId="5686"/>
    <cellStyle name="Percent 27 2 3" xfId="5687"/>
    <cellStyle name="Percent 27 2 3 2" xfId="5688"/>
    <cellStyle name="Percent 27 2 3 3" xfId="25491"/>
    <cellStyle name="Percent 27 2 3_Forecast" xfId="25492"/>
    <cellStyle name="Percent 27 2 30" xfId="25493"/>
    <cellStyle name="Percent 27 2 4" xfId="5689"/>
    <cellStyle name="Percent 27 2 4 2" xfId="5690"/>
    <cellStyle name="Percent 27 2 4 3" xfId="25494"/>
    <cellStyle name="Percent 27 2 4_Forecast" xfId="25495"/>
    <cellStyle name="Percent 27 2 5" xfId="5691"/>
    <cellStyle name="Percent 27 2 5 2" xfId="5692"/>
    <cellStyle name="Percent 27 2 5 3" xfId="25496"/>
    <cellStyle name="Percent 27 2 5_Forecast" xfId="25497"/>
    <cellStyle name="Percent 27 2 6" xfId="5693"/>
    <cellStyle name="Percent 27 2 6 2" xfId="5694"/>
    <cellStyle name="Percent 27 2 6 3" xfId="25498"/>
    <cellStyle name="Percent 27 2 6_Forecast" xfId="25499"/>
    <cellStyle name="Percent 27 2 7" xfId="5695"/>
    <cellStyle name="Percent 27 2 7 2" xfId="5696"/>
    <cellStyle name="Percent 27 2 7 3" xfId="25500"/>
    <cellStyle name="Percent 27 2 7_Forecast" xfId="25501"/>
    <cellStyle name="Percent 27 2 8" xfId="5697"/>
    <cellStyle name="Percent 27 2 8 2" xfId="25502"/>
    <cellStyle name="Percent 27 2 8_Forecast" xfId="25503"/>
    <cellStyle name="Percent 27 2 9" xfId="5698"/>
    <cellStyle name="Percent 27 2 9 2" xfId="25504"/>
    <cellStyle name="Percent 27 2 9_Forecast" xfId="25505"/>
    <cellStyle name="Percent 27 2_Forecast" xfId="25506"/>
    <cellStyle name="Percent 27 20" xfId="5699"/>
    <cellStyle name="Percent 27 21" xfId="5700"/>
    <cellStyle name="Percent 27 22" xfId="5701"/>
    <cellStyle name="Percent 27 23" xfId="5702"/>
    <cellStyle name="Percent 27 24" xfId="5703"/>
    <cellStyle name="Percent 27 25" xfId="5704"/>
    <cellStyle name="Percent 27 26" xfId="5705"/>
    <cellStyle name="Percent 27 27" xfId="5706"/>
    <cellStyle name="Percent 27 28" xfId="5707"/>
    <cellStyle name="Percent 27 29" xfId="5708"/>
    <cellStyle name="Percent 27 3" xfId="5709"/>
    <cellStyle name="Percent 27 3 10" xfId="5710"/>
    <cellStyle name="Percent 27 3 10 2" xfId="25507"/>
    <cellStyle name="Percent 27 3 10_Forecast" xfId="25508"/>
    <cellStyle name="Percent 27 3 11" xfId="5711"/>
    <cellStyle name="Percent 27 3 12" xfId="5712"/>
    <cellStyle name="Percent 27 3 13" xfId="5713"/>
    <cellStyle name="Percent 27 3 14" xfId="5714"/>
    <cellStyle name="Percent 27 3 15" xfId="5715"/>
    <cellStyle name="Percent 27 3 16" xfId="5716"/>
    <cellStyle name="Percent 27 3 17" xfId="5717"/>
    <cellStyle name="Percent 27 3 18" xfId="5718"/>
    <cellStyle name="Percent 27 3 19" xfId="5719"/>
    <cellStyle name="Percent 27 3 2" xfId="5720"/>
    <cellStyle name="Percent 27 3 2 2" xfId="5721"/>
    <cellStyle name="Percent 27 3 2 3" xfId="25509"/>
    <cellStyle name="Percent 27 3 2_Forecast" xfId="25510"/>
    <cellStyle name="Percent 27 3 20" xfId="5722"/>
    <cellStyle name="Percent 27 3 21" xfId="5723"/>
    <cellStyle name="Percent 27 3 22" xfId="5724"/>
    <cellStyle name="Percent 27 3 23" xfId="5725"/>
    <cellStyle name="Percent 27 3 24" xfId="5726"/>
    <cellStyle name="Percent 27 3 25" xfId="5727"/>
    <cellStyle name="Percent 27 3 26" xfId="5728"/>
    <cellStyle name="Percent 27 3 27" xfId="5729"/>
    <cellStyle name="Percent 27 3 28" xfId="5730"/>
    <cellStyle name="Percent 27 3 29" xfId="5731"/>
    <cellStyle name="Percent 27 3 3" xfId="5732"/>
    <cellStyle name="Percent 27 3 3 2" xfId="5733"/>
    <cellStyle name="Percent 27 3 3 3" xfId="25511"/>
    <cellStyle name="Percent 27 3 3_Forecast" xfId="25512"/>
    <cellStyle name="Percent 27 3 30" xfId="25513"/>
    <cellStyle name="Percent 27 3 4" xfId="5734"/>
    <cellStyle name="Percent 27 3 4 2" xfId="5735"/>
    <cellStyle name="Percent 27 3 4 3" xfId="25514"/>
    <cellStyle name="Percent 27 3 4_Forecast" xfId="25515"/>
    <cellStyle name="Percent 27 3 5" xfId="5736"/>
    <cellStyle name="Percent 27 3 5 2" xfId="5737"/>
    <cellStyle name="Percent 27 3 5 3" xfId="25516"/>
    <cellStyle name="Percent 27 3 5_Forecast" xfId="25517"/>
    <cellStyle name="Percent 27 3 6" xfId="5738"/>
    <cellStyle name="Percent 27 3 6 2" xfId="5739"/>
    <cellStyle name="Percent 27 3 6 3" xfId="25518"/>
    <cellStyle name="Percent 27 3 6_Forecast" xfId="25519"/>
    <cellStyle name="Percent 27 3 7" xfId="5740"/>
    <cellStyle name="Percent 27 3 7 2" xfId="5741"/>
    <cellStyle name="Percent 27 3 7 3" xfId="25520"/>
    <cellStyle name="Percent 27 3 7_Forecast" xfId="25521"/>
    <cellStyle name="Percent 27 3 8" xfId="5742"/>
    <cellStyle name="Percent 27 3 8 2" xfId="25522"/>
    <cellStyle name="Percent 27 3 8_Forecast" xfId="25523"/>
    <cellStyle name="Percent 27 3 9" xfId="5743"/>
    <cellStyle name="Percent 27 3 9 2" xfId="25524"/>
    <cellStyle name="Percent 27 3 9_Forecast" xfId="25525"/>
    <cellStyle name="Percent 27 3_Forecast" xfId="25526"/>
    <cellStyle name="Percent 27 30" xfId="5744"/>
    <cellStyle name="Percent 27 31" xfId="5745"/>
    <cellStyle name="Percent 27 32" xfId="5746"/>
    <cellStyle name="Percent 27 33" xfId="5747"/>
    <cellStyle name="Percent 27 34" xfId="5748"/>
    <cellStyle name="Percent 27 35" xfId="5749"/>
    <cellStyle name="Percent 27 36" xfId="5750"/>
    <cellStyle name="Percent 27 37" xfId="5751"/>
    <cellStyle name="Percent 27 38" xfId="5752"/>
    <cellStyle name="Percent 27 39" xfId="25527"/>
    <cellStyle name="Percent 27 4" xfId="5753"/>
    <cellStyle name="Percent 27 4 10" xfId="5754"/>
    <cellStyle name="Percent 27 4 10 2" xfId="25528"/>
    <cellStyle name="Percent 27 4 10_Forecast" xfId="25529"/>
    <cellStyle name="Percent 27 4 11" xfId="5755"/>
    <cellStyle name="Percent 27 4 12" xfId="5756"/>
    <cellStyle name="Percent 27 4 13" xfId="5757"/>
    <cellStyle name="Percent 27 4 14" xfId="5758"/>
    <cellStyle name="Percent 27 4 15" xfId="5759"/>
    <cellStyle name="Percent 27 4 16" xfId="5760"/>
    <cellStyle name="Percent 27 4 17" xfId="5761"/>
    <cellStyle name="Percent 27 4 18" xfId="5762"/>
    <cellStyle name="Percent 27 4 19" xfId="5763"/>
    <cellStyle name="Percent 27 4 2" xfId="5764"/>
    <cellStyle name="Percent 27 4 2 2" xfId="5765"/>
    <cellStyle name="Percent 27 4 2 3" xfId="25530"/>
    <cellStyle name="Percent 27 4 2_Forecast" xfId="25531"/>
    <cellStyle name="Percent 27 4 20" xfId="5766"/>
    <cellStyle name="Percent 27 4 21" xfId="5767"/>
    <cellStyle name="Percent 27 4 22" xfId="5768"/>
    <cellStyle name="Percent 27 4 23" xfId="5769"/>
    <cellStyle name="Percent 27 4 24" xfId="5770"/>
    <cellStyle name="Percent 27 4 25" xfId="5771"/>
    <cellStyle name="Percent 27 4 26" xfId="5772"/>
    <cellStyle name="Percent 27 4 27" xfId="5773"/>
    <cellStyle name="Percent 27 4 28" xfId="5774"/>
    <cellStyle name="Percent 27 4 29" xfId="5775"/>
    <cellStyle name="Percent 27 4 3" xfId="5776"/>
    <cellStyle name="Percent 27 4 3 2" xfId="5777"/>
    <cellStyle name="Percent 27 4 3 3" xfId="25532"/>
    <cellStyle name="Percent 27 4 3_Forecast" xfId="25533"/>
    <cellStyle name="Percent 27 4 30" xfId="25534"/>
    <cellStyle name="Percent 27 4 4" xfId="5778"/>
    <cellStyle name="Percent 27 4 4 2" xfId="5779"/>
    <cellStyle name="Percent 27 4 4 3" xfId="25535"/>
    <cellStyle name="Percent 27 4 4_Forecast" xfId="25536"/>
    <cellStyle name="Percent 27 4 5" xfId="5780"/>
    <cellStyle name="Percent 27 4 5 2" xfId="5781"/>
    <cellStyle name="Percent 27 4 5 3" xfId="25537"/>
    <cellStyle name="Percent 27 4 5_Forecast" xfId="25538"/>
    <cellStyle name="Percent 27 4 6" xfId="5782"/>
    <cellStyle name="Percent 27 4 6 2" xfId="5783"/>
    <cellStyle name="Percent 27 4 6 3" xfId="25539"/>
    <cellStyle name="Percent 27 4 6_Forecast" xfId="25540"/>
    <cellStyle name="Percent 27 4 7" xfId="5784"/>
    <cellStyle name="Percent 27 4 7 2" xfId="5785"/>
    <cellStyle name="Percent 27 4 7 3" xfId="25541"/>
    <cellStyle name="Percent 27 4 7_Forecast" xfId="25542"/>
    <cellStyle name="Percent 27 4 8" xfId="5786"/>
    <cellStyle name="Percent 27 4 8 2" xfId="25543"/>
    <cellStyle name="Percent 27 4 8_Forecast" xfId="25544"/>
    <cellStyle name="Percent 27 4 9" xfId="5787"/>
    <cellStyle name="Percent 27 4 9 2" xfId="25545"/>
    <cellStyle name="Percent 27 4 9_Forecast" xfId="25546"/>
    <cellStyle name="Percent 27 4_Forecast" xfId="25547"/>
    <cellStyle name="Percent 27 5" xfId="5788"/>
    <cellStyle name="Percent 27 5 10" xfId="5789"/>
    <cellStyle name="Percent 27 5 10 2" xfId="25548"/>
    <cellStyle name="Percent 27 5 10_Forecast" xfId="25549"/>
    <cellStyle name="Percent 27 5 11" xfId="5790"/>
    <cellStyle name="Percent 27 5 12" xfId="5791"/>
    <cellStyle name="Percent 27 5 13" xfId="5792"/>
    <cellStyle name="Percent 27 5 14" xfId="5793"/>
    <cellStyle name="Percent 27 5 15" xfId="5794"/>
    <cellStyle name="Percent 27 5 16" xfId="5795"/>
    <cellStyle name="Percent 27 5 17" xfId="5796"/>
    <cellStyle name="Percent 27 5 18" xfId="5797"/>
    <cellStyle name="Percent 27 5 19" xfId="5798"/>
    <cellStyle name="Percent 27 5 2" xfId="5799"/>
    <cellStyle name="Percent 27 5 2 2" xfId="5800"/>
    <cellStyle name="Percent 27 5 2 3" xfId="25550"/>
    <cellStyle name="Percent 27 5 2_Forecast" xfId="25551"/>
    <cellStyle name="Percent 27 5 20" xfId="5801"/>
    <cellStyle name="Percent 27 5 21" xfId="5802"/>
    <cellStyle name="Percent 27 5 22" xfId="5803"/>
    <cellStyle name="Percent 27 5 23" xfId="5804"/>
    <cellStyle name="Percent 27 5 24" xfId="5805"/>
    <cellStyle name="Percent 27 5 25" xfId="5806"/>
    <cellStyle name="Percent 27 5 26" xfId="5807"/>
    <cellStyle name="Percent 27 5 27" xfId="5808"/>
    <cellStyle name="Percent 27 5 28" xfId="5809"/>
    <cellStyle name="Percent 27 5 29" xfId="5810"/>
    <cellStyle name="Percent 27 5 3" xfId="5811"/>
    <cellStyle name="Percent 27 5 3 2" xfId="5812"/>
    <cellStyle name="Percent 27 5 3 3" xfId="25552"/>
    <cellStyle name="Percent 27 5 3_Forecast" xfId="25553"/>
    <cellStyle name="Percent 27 5 30" xfId="25554"/>
    <cellStyle name="Percent 27 5 4" xfId="5813"/>
    <cellStyle name="Percent 27 5 4 2" xfId="5814"/>
    <cellStyle name="Percent 27 5 4 3" xfId="25555"/>
    <cellStyle name="Percent 27 5 4_Forecast" xfId="25556"/>
    <cellStyle name="Percent 27 5 5" xfId="5815"/>
    <cellStyle name="Percent 27 5 5 2" xfId="5816"/>
    <cellStyle name="Percent 27 5 5 3" xfId="25557"/>
    <cellStyle name="Percent 27 5 5_Forecast" xfId="25558"/>
    <cellStyle name="Percent 27 5 6" xfId="5817"/>
    <cellStyle name="Percent 27 5 6 2" xfId="5818"/>
    <cellStyle name="Percent 27 5 6 3" xfId="25559"/>
    <cellStyle name="Percent 27 5 6_Forecast" xfId="25560"/>
    <cellStyle name="Percent 27 5 7" xfId="5819"/>
    <cellStyle name="Percent 27 5 7 2" xfId="5820"/>
    <cellStyle name="Percent 27 5 7 3" xfId="25561"/>
    <cellStyle name="Percent 27 5 7_Forecast" xfId="25562"/>
    <cellStyle name="Percent 27 5 8" xfId="5821"/>
    <cellStyle name="Percent 27 5 8 2" xfId="25563"/>
    <cellStyle name="Percent 27 5 8_Forecast" xfId="25564"/>
    <cellStyle name="Percent 27 5 9" xfId="5822"/>
    <cellStyle name="Percent 27 5 9 2" xfId="25565"/>
    <cellStyle name="Percent 27 5 9_Forecast" xfId="25566"/>
    <cellStyle name="Percent 27 5_Forecast" xfId="25567"/>
    <cellStyle name="Percent 27 6" xfId="5823"/>
    <cellStyle name="Percent 27 6 10" xfId="5824"/>
    <cellStyle name="Percent 27 6 10 2" xfId="25568"/>
    <cellStyle name="Percent 27 6 10_Forecast" xfId="25569"/>
    <cellStyle name="Percent 27 6 11" xfId="5825"/>
    <cellStyle name="Percent 27 6 12" xfId="5826"/>
    <cellStyle name="Percent 27 6 13" xfId="5827"/>
    <cellStyle name="Percent 27 6 14" xfId="5828"/>
    <cellStyle name="Percent 27 6 15" xfId="5829"/>
    <cellStyle name="Percent 27 6 16" xfId="5830"/>
    <cellStyle name="Percent 27 6 17" xfId="5831"/>
    <cellStyle name="Percent 27 6 18" xfId="5832"/>
    <cellStyle name="Percent 27 6 19" xfId="5833"/>
    <cellStyle name="Percent 27 6 2" xfId="5834"/>
    <cellStyle name="Percent 27 6 2 2" xfId="5835"/>
    <cellStyle name="Percent 27 6 2 3" xfId="25570"/>
    <cellStyle name="Percent 27 6 2_Forecast" xfId="25571"/>
    <cellStyle name="Percent 27 6 20" xfId="5836"/>
    <cellStyle name="Percent 27 6 21" xfId="5837"/>
    <cellStyle name="Percent 27 6 22" xfId="5838"/>
    <cellStyle name="Percent 27 6 23" xfId="5839"/>
    <cellStyle name="Percent 27 6 24" xfId="5840"/>
    <cellStyle name="Percent 27 6 25" xfId="5841"/>
    <cellStyle name="Percent 27 6 26" xfId="5842"/>
    <cellStyle name="Percent 27 6 27" xfId="5843"/>
    <cellStyle name="Percent 27 6 28" xfId="5844"/>
    <cellStyle name="Percent 27 6 29" xfId="5845"/>
    <cellStyle name="Percent 27 6 3" xfId="5846"/>
    <cellStyle name="Percent 27 6 3 2" xfId="5847"/>
    <cellStyle name="Percent 27 6 3 3" xfId="25572"/>
    <cellStyle name="Percent 27 6 3_Forecast" xfId="25573"/>
    <cellStyle name="Percent 27 6 30" xfId="25574"/>
    <cellStyle name="Percent 27 6 4" xfId="5848"/>
    <cellStyle name="Percent 27 6 4 2" xfId="5849"/>
    <cellStyle name="Percent 27 6 4 3" xfId="25575"/>
    <cellStyle name="Percent 27 6 4_Forecast" xfId="25576"/>
    <cellStyle name="Percent 27 6 5" xfId="5850"/>
    <cellStyle name="Percent 27 6 5 2" xfId="5851"/>
    <cellStyle name="Percent 27 6 5 3" xfId="25577"/>
    <cellStyle name="Percent 27 6 5_Forecast" xfId="25578"/>
    <cellStyle name="Percent 27 6 6" xfId="5852"/>
    <cellStyle name="Percent 27 6 6 2" xfId="5853"/>
    <cellStyle name="Percent 27 6 6 3" xfId="25579"/>
    <cellStyle name="Percent 27 6 6_Forecast" xfId="25580"/>
    <cellStyle name="Percent 27 6 7" xfId="5854"/>
    <cellStyle name="Percent 27 6 7 2" xfId="5855"/>
    <cellStyle name="Percent 27 6 7 3" xfId="25581"/>
    <cellStyle name="Percent 27 6 7_Forecast" xfId="25582"/>
    <cellStyle name="Percent 27 6 8" xfId="5856"/>
    <cellStyle name="Percent 27 6 8 2" xfId="25583"/>
    <cellStyle name="Percent 27 6 8_Forecast" xfId="25584"/>
    <cellStyle name="Percent 27 6 9" xfId="5857"/>
    <cellStyle name="Percent 27 6 9 2" xfId="25585"/>
    <cellStyle name="Percent 27 6 9_Forecast" xfId="25586"/>
    <cellStyle name="Percent 27 6_Forecast" xfId="25587"/>
    <cellStyle name="Percent 27 7" xfId="5858"/>
    <cellStyle name="Percent 27 7 10" xfId="5859"/>
    <cellStyle name="Percent 27 7 10 2" xfId="25588"/>
    <cellStyle name="Percent 27 7 10_Forecast" xfId="25589"/>
    <cellStyle name="Percent 27 7 11" xfId="5860"/>
    <cellStyle name="Percent 27 7 12" xfId="5861"/>
    <cellStyle name="Percent 27 7 13" xfId="5862"/>
    <cellStyle name="Percent 27 7 14" xfId="5863"/>
    <cellStyle name="Percent 27 7 15" xfId="5864"/>
    <cellStyle name="Percent 27 7 16" xfId="5865"/>
    <cellStyle name="Percent 27 7 17" xfId="5866"/>
    <cellStyle name="Percent 27 7 18" xfId="5867"/>
    <cellStyle name="Percent 27 7 19" xfId="5868"/>
    <cellStyle name="Percent 27 7 2" xfId="5869"/>
    <cellStyle name="Percent 27 7 2 2" xfId="5870"/>
    <cellStyle name="Percent 27 7 2 3" xfId="25590"/>
    <cellStyle name="Percent 27 7 2_Forecast" xfId="25591"/>
    <cellStyle name="Percent 27 7 20" xfId="5871"/>
    <cellStyle name="Percent 27 7 21" xfId="5872"/>
    <cellStyle name="Percent 27 7 22" xfId="5873"/>
    <cellStyle name="Percent 27 7 23" xfId="5874"/>
    <cellStyle name="Percent 27 7 24" xfId="5875"/>
    <cellStyle name="Percent 27 7 25" xfId="5876"/>
    <cellStyle name="Percent 27 7 26" xfId="5877"/>
    <cellStyle name="Percent 27 7 27" xfId="5878"/>
    <cellStyle name="Percent 27 7 28" xfId="5879"/>
    <cellStyle name="Percent 27 7 29" xfId="5880"/>
    <cellStyle name="Percent 27 7 3" xfId="5881"/>
    <cellStyle name="Percent 27 7 3 2" xfId="5882"/>
    <cellStyle name="Percent 27 7 3 3" xfId="25592"/>
    <cellStyle name="Percent 27 7 3_Forecast" xfId="25593"/>
    <cellStyle name="Percent 27 7 30" xfId="25594"/>
    <cellStyle name="Percent 27 7 4" xfId="5883"/>
    <cellStyle name="Percent 27 7 4 2" xfId="5884"/>
    <cellStyle name="Percent 27 7 4 3" xfId="25595"/>
    <cellStyle name="Percent 27 7 4_Forecast" xfId="25596"/>
    <cellStyle name="Percent 27 7 5" xfId="5885"/>
    <cellStyle name="Percent 27 7 5 2" xfId="5886"/>
    <cellStyle name="Percent 27 7 5 3" xfId="25597"/>
    <cellStyle name="Percent 27 7 5_Forecast" xfId="25598"/>
    <cellStyle name="Percent 27 7 6" xfId="5887"/>
    <cellStyle name="Percent 27 7 6 2" xfId="5888"/>
    <cellStyle name="Percent 27 7 6 3" xfId="25599"/>
    <cellStyle name="Percent 27 7 6_Forecast" xfId="25600"/>
    <cellStyle name="Percent 27 7 7" xfId="5889"/>
    <cellStyle name="Percent 27 7 7 2" xfId="5890"/>
    <cellStyle name="Percent 27 7 7 3" xfId="25601"/>
    <cellStyle name="Percent 27 7 7_Forecast" xfId="25602"/>
    <cellStyle name="Percent 27 7 8" xfId="5891"/>
    <cellStyle name="Percent 27 7 8 2" xfId="25603"/>
    <cellStyle name="Percent 27 7 8_Forecast" xfId="25604"/>
    <cellStyle name="Percent 27 7 9" xfId="5892"/>
    <cellStyle name="Percent 27 7 9 2" xfId="25605"/>
    <cellStyle name="Percent 27 7 9_Forecast" xfId="25606"/>
    <cellStyle name="Percent 27 7_Forecast" xfId="25607"/>
    <cellStyle name="Percent 27 8" xfId="5893"/>
    <cellStyle name="Percent 27 8 10" xfId="5894"/>
    <cellStyle name="Percent 27 8 10 2" xfId="25608"/>
    <cellStyle name="Percent 27 8 10_Forecast" xfId="25609"/>
    <cellStyle name="Percent 27 8 11" xfId="5895"/>
    <cellStyle name="Percent 27 8 12" xfId="5896"/>
    <cellStyle name="Percent 27 8 13" xfId="5897"/>
    <cellStyle name="Percent 27 8 14" xfId="5898"/>
    <cellStyle name="Percent 27 8 15" xfId="5899"/>
    <cellStyle name="Percent 27 8 16" xfId="5900"/>
    <cellStyle name="Percent 27 8 17" xfId="5901"/>
    <cellStyle name="Percent 27 8 18" xfId="5902"/>
    <cellStyle name="Percent 27 8 19" xfId="5903"/>
    <cellStyle name="Percent 27 8 2" xfId="5904"/>
    <cellStyle name="Percent 27 8 2 2" xfId="5905"/>
    <cellStyle name="Percent 27 8 2 3" xfId="25610"/>
    <cellStyle name="Percent 27 8 2_Forecast" xfId="25611"/>
    <cellStyle name="Percent 27 8 20" xfId="5906"/>
    <cellStyle name="Percent 27 8 21" xfId="5907"/>
    <cellStyle name="Percent 27 8 22" xfId="5908"/>
    <cellStyle name="Percent 27 8 23" xfId="5909"/>
    <cellStyle name="Percent 27 8 24" xfId="5910"/>
    <cellStyle name="Percent 27 8 25" xfId="5911"/>
    <cellStyle name="Percent 27 8 26" xfId="5912"/>
    <cellStyle name="Percent 27 8 27" xfId="5913"/>
    <cellStyle name="Percent 27 8 28" xfId="5914"/>
    <cellStyle name="Percent 27 8 29" xfId="5915"/>
    <cellStyle name="Percent 27 8 3" xfId="5916"/>
    <cellStyle name="Percent 27 8 3 2" xfId="5917"/>
    <cellStyle name="Percent 27 8 3 3" xfId="25612"/>
    <cellStyle name="Percent 27 8 3_Forecast" xfId="25613"/>
    <cellStyle name="Percent 27 8 30" xfId="25614"/>
    <cellStyle name="Percent 27 8 4" xfId="5918"/>
    <cellStyle name="Percent 27 8 4 2" xfId="5919"/>
    <cellStyle name="Percent 27 8 4 3" xfId="25615"/>
    <cellStyle name="Percent 27 8 4_Forecast" xfId="25616"/>
    <cellStyle name="Percent 27 8 5" xfId="5920"/>
    <cellStyle name="Percent 27 8 5 2" xfId="5921"/>
    <cellStyle name="Percent 27 8 5 3" xfId="25617"/>
    <cellStyle name="Percent 27 8 5_Forecast" xfId="25618"/>
    <cellStyle name="Percent 27 8 6" xfId="5922"/>
    <cellStyle name="Percent 27 8 6 2" xfId="5923"/>
    <cellStyle name="Percent 27 8 6 3" xfId="25619"/>
    <cellStyle name="Percent 27 8 6_Forecast" xfId="25620"/>
    <cellStyle name="Percent 27 8 7" xfId="5924"/>
    <cellStyle name="Percent 27 8 7 2" xfId="5925"/>
    <cellStyle name="Percent 27 8 7 3" xfId="25621"/>
    <cellStyle name="Percent 27 8 7_Forecast" xfId="25622"/>
    <cellStyle name="Percent 27 8 8" xfId="5926"/>
    <cellStyle name="Percent 27 8 8 2" xfId="25623"/>
    <cellStyle name="Percent 27 8 8_Forecast" xfId="25624"/>
    <cellStyle name="Percent 27 8 9" xfId="5927"/>
    <cellStyle name="Percent 27 8 9 2" xfId="25625"/>
    <cellStyle name="Percent 27 8 9_Forecast" xfId="25626"/>
    <cellStyle name="Percent 27 8_Forecast" xfId="25627"/>
    <cellStyle name="Percent 27 9" xfId="5928"/>
    <cellStyle name="Percent 27 9 10" xfId="5929"/>
    <cellStyle name="Percent 27 9 10 2" xfId="25628"/>
    <cellStyle name="Percent 27 9 10_Forecast" xfId="25629"/>
    <cellStyle name="Percent 27 9 11" xfId="5930"/>
    <cellStyle name="Percent 27 9 12" xfId="5931"/>
    <cellStyle name="Percent 27 9 13" xfId="5932"/>
    <cellStyle name="Percent 27 9 14" xfId="5933"/>
    <cellStyle name="Percent 27 9 15" xfId="5934"/>
    <cellStyle name="Percent 27 9 16" xfId="5935"/>
    <cellStyle name="Percent 27 9 17" xfId="5936"/>
    <cellStyle name="Percent 27 9 18" xfId="5937"/>
    <cellStyle name="Percent 27 9 19" xfId="5938"/>
    <cellStyle name="Percent 27 9 2" xfId="5939"/>
    <cellStyle name="Percent 27 9 2 2" xfId="5940"/>
    <cellStyle name="Percent 27 9 2 3" xfId="25630"/>
    <cellStyle name="Percent 27 9 2_Forecast" xfId="25631"/>
    <cellStyle name="Percent 27 9 20" xfId="5941"/>
    <cellStyle name="Percent 27 9 21" xfId="5942"/>
    <cellStyle name="Percent 27 9 22" xfId="5943"/>
    <cellStyle name="Percent 27 9 23" xfId="5944"/>
    <cellStyle name="Percent 27 9 24" xfId="5945"/>
    <cellStyle name="Percent 27 9 25" xfId="5946"/>
    <cellStyle name="Percent 27 9 26" xfId="5947"/>
    <cellStyle name="Percent 27 9 27" xfId="5948"/>
    <cellStyle name="Percent 27 9 28" xfId="5949"/>
    <cellStyle name="Percent 27 9 29" xfId="5950"/>
    <cellStyle name="Percent 27 9 3" xfId="5951"/>
    <cellStyle name="Percent 27 9 3 2" xfId="5952"/>
    <cellStyle name="Percent 27 9 3 3" xfId="25632"/>
    <cellStyle name="Percent 27 9 3_Forecast" xfId="25633"/>
    <cellStyle name="Percent 27 9 30" xfId="25634"/>
    <cellStyle name="Percent 27 9 4" xfId="5953"/>
    <cellStyle name="Percent 27 9 4 2" xfId="5954"/>
    <cellStyle name="Percent 27 9 4 3" xfId="25635"/>
    <cellStyle name="Percent 27 9 4_Forecast" xfId="25636"/>
    <cellStyle name="Percent 27 9 5" xfId="5955"/>
    <cellStyle name="Percent 27 9 5 2" xfId="5956"/>
    <cellStyle name="Percent 27 9 5 3" xfId="25637"/>
    <cellStyle name="Percent 27 9 5_Forecast" xfId="25638"/>
    <cellStyle name="Percent 27 9 6" xfId="5957"/>
    <cellStyle name="Percent 27 9 6 2" xfId="5958"/>
    <cellStyle name="Percent 27 9 6 3" xfId="25639"/>
    <cellStyle name="Percent 27 9 6_Forecast" xfId="25640"/>
    <cellStyle name="Percent 27 9 7" xfId="5959"/>
    <cellStyle name="Percent 27 9 7 2" xfId="5960"/>
    <cellStyle name="Percent 27 9 7 3" xfId="25641"/>
    <cellStyle name="Percent 27 9 7_Forecast" xfId="25642"/>
    <cellStyle name="Percent 27 9 8" xfId="5961"/>
    <cellStyle name="Percent 27 9 8 2" xfId="25643"/>
    <cellStyle name="Percent 27 9 8_Forecast" xfId="25644"/>
    <cellStyle name="Percent 27 9 9" xfId="5962"/>
    <cellStyle name="Percent 27 9 9 2" xfId="25645"/>
    <cellStyle name="Percent 27 9 9_Forecast" xfId="25646"/>
    <cellStyle name="Percent 27 9_Forecast" xfId="25647"/>
    <cellStyle name="Percent 27_Forecast" xfId="25648"/>
    <cellStyle name="Percent 28" xfId="5963"/>
    <cellStyle name="Percent 28 10" xfId="5964"/>
    <cellStyle name="Percent 28 10 10" xfId="5965"/>
    <cellStyle name="Percent 28 10 10 2" xfId="25649"/>
    <cellStyle name="Percent 28 10 10_Forecast" xfId="25650"/>
    <cellStyle name="Percent 28 10 11" xfId="5966"/>
    <cellStyle name="Percent 28 10 12" xfId="5967"/>
    <cellStyle name="Percent 28 10 13" xfId="5968"/>
    <cellStyle name="Percent 28 10 14" xfId="5969"/>
    <cellStyle name="Percent 28 10 15" xfId="5970"/>
    <cellStyle name="Percent 28 10 16" xfId="5971"/>
    <cellStyle name="Percent 28 10 17" xfId="5972"/>
    <cellStyle name="Percent 28 10 18" xfId="5973"/>
    <cellStyle name="Percent 28 10 19" xfId="5974"/>
    <cellStyle name="Percent 28 10 2" xfId="5975"/>
    <cellStyle name="Percent 28 10 2 2" xfId="5976"/>
    <cellStyle name="Percent 28 10 2 3" xfId="25651"/>
    <cellStyle name="Percent 28 10 2_Forecast" xfId="25652"/>
    <cellStyle name="Percent 28 10 20" xfId="5977"/>
    <cellStyle name="Percent 28 10 21" xfId="5978"/>
    <cellStyle name="Percent 28 10 22" xfId="5979"/>
    <cellStyle name="Percent 28 10 23" xfId="5980"/>
    <cellStyle name="Percent 28 10 24" xfId="5981"/>
    <cellStyle name="Percent 28 10 25" xfId="5982"/>
    <cellStyle name="Percent 28 10 26" xfId="5983"/>
    <cellStyle name="Percent 28 10 27" xfId="5984"/>
    <cellStyle name="Percent 28 10 28" xfId="5985"/>
    <cellStyle name="Percent 28 10 29" xfId="5986"/>
    <cellStyle name="Percent 28 10 3" xfId="5987"/>
    <cellStyle name="Percent 28 10 3 2" xfId="5988"/>
    <cellStyle name="Percent 28 10 3 3" xfId="25653"/>
    <cellStyle name="Percent 28 10 3_Forecast" xfId="25654"/>
    <cellStyle name="Percent 28 10 30" xfId="25655"/>
    <cellStyle name="Percent 28 10 4" xfId="5989"/>
    <cellStyle name="Percent 28 10 4 2" xfId="5990"/>
    <cellStyle name="Percent 28 10 4 3" xfId="25656"/>
    <cellStyle name="Percent 28 10 4_Forecast" xfId="25657"/>
    <cellStyle name="Percent 28 10 5" xfId="5991"/>
    <cellStyle name="Percent 28 10 5 2" xfId="5992"/>
    <cellStyle name="Percent 28 10 5 3" xfId="25658"/>
    <cellStyle name="Percent 28 10 5_Forecast" xfId="25659"/>
    <cellStyle name="Percent 28 10 6" xfId="5993"/>
    <cellStyle name="Percent 28 10 6 2" xfId="5994"/>
    <cellStyle name="Percent 28 10 6 3" xfId="25660"/>
    <cellStyle name="Percent 28 10 6_Forecast" xfId="25661"/>
    <cellStyle name="Percent 28 10 7" xfId="5995"/>
    <cellStyle name="Percent 28 10 7 2" xfId="5996"/>
    <cellStyle name="Percent 28 10 7 3" xfId="25662"/>
    <cellStyle name="Percent 28 10 7_Forecast" xfId="25663"/>
    <cellStyle name="Percent 28 10 8" xfId="5997"/>
    <cellStyle name="Percent 28 10 8 2" xfId="25664"/>
    <cellStyle name="Percent 28 10 8_Forecast" xfId="25665"/>
    <cellStyle name="Percent 28 10 9" xfId="5998"/>
    <cellStyle name="Percent 28 10 9 2" xfId="25666"/>
    <cellStyle name="Percent 28 10 9_Forecast" xfId="25667"/>
    <cellStyle name="Percent 28 10_Forecast" xfId="25668"/>
    <cellStyle name="Percent 28 11" xfId="5999"/>
    <cellStyle name="Percent 28 11 10" xfId="6000"/>
    <cellStyle name="Percent 28 11 10 2" xfId="25669"/>
    <cellStyle name="Percent 28 11 10_Forecast" xfId="25670"/>
    <cellStyle name="Percent 28 11 11" xfId="6001"/>
    <cellStyle name="Percent 28 11 12" xfId="6002"/>
    <cellStyle name="Percent 28 11 13" xfId="6003"/>
    <cellStyle name="Percent 28 11 14" xfId="6004"/>
    <cellStyle name="Percent 28 11 15" xfId="6005"/>
    <cellStyle name="Percent 28 11 16" xfId="6006"/>
    <cellStyle name="Percent 28 11 17" xfId="6007"/>
    <cellStyle name="Percent 28 11 18" xfId="6008"/>
    <cellStyle name="Percent 28 11 19" xfId="6009"/>
    <cellStyle name="Percent 28 11 2" xfId="6010"/>
    <cellStyle name="Percent 28 11 2 2" xfId="6011"/>
    <cellStyle name="Percent 28 11 2 3" xfId="25671"/>
    <cellStyle name="Percent 28 11 2_Forecast" xfId="25672"/>
    <cellStyle name="Percent 28 11 20" xfId="6012"/>
    <cellStyle name="Percent 28 11 21" xfId="6013"/>
    <cellStyle name="Percent 28 11 22" xfId="6014"/>
    <cellStyle name="Percent 28 11 23" xfId="6015"/>
    <cellStyle name="Percent 28 11 24" xfId="6016"/>
    <cellStyle name="Percent 28 11 25" xfId="6017"/>
    <cellStyle name="Percent 28 11 26" xfId="6018"/>
    <cellStyle name="Percent 28 11 27" xfId="6019"/>
    <cellStyle name="Percent 28 11 28" xfId="6020"/>
    <cellStyle name="Percent 28 11 29" xfId="6021"/>
    <cellStyle name="Percent 28 11 3" xfId="6022"/>
    <cellStyle name="Percent 28 11 3 2" xfId="6023"/>
    <cellStyle name="Percent 28 11 3 3" xfId="25673"/>
    <cellStyle name="Percent 28 11 3_Forecast" xfId="25674"/>
    <cellStyle name="Percent 28 11 30" xfId="25675"/>
    <cellStyle name="Percent 28 11 4" xfId="6024"/>
    <cellStyle name="Percent 28 11 4 2" xfId="6025"/>
    <cellStyle name="Percent 28 11 4 3" xfId="25676"/>
    <cellStyle name="Percent 28 11 4_Forecast" xfId="25677"/>
    <cellStyle name="Percent 28 11 5" xfId="6026"/>
    <cellStyle name="Percent 28 11 5 2" xfId="6027"/>
    <cellStyle name="Percent 28 11 5 3" xfId="25678"/>
    <cellStyle name="Percent 28 11 5_Forecast" xfId="25679"/>
    <cellStyle name="Percent 28 11 6" xfId="6028"/>
    <cellStyle name="Percent 28 11 6 2" xfId="6029"/>
    <cellStyle name="Percent 28 11 6 3" xfId="25680"/>
    <cellStyle name="Percent 28 11 6_Forecast" xfId="25681"/>
    <cellStyle name="Percent 28 11 7" xfId="6030"/>
    <cellStyle name="Percent 28 11 7 2" xfId="6031"/>
    <cellStyle name="Percent 28 11 7 3" xfId="25682"/>
    <cellStyle name="Percent 28 11 7_Forecast" xfId="25683"/>
    <cellStyle name="Percent 28 11 8" xfId="6032"/>
    <cellStyle name="Percent 28 11 8 2" xfId="25684"/>
    <cellStyle name="Percent 28 11 8_Forecast" xfId="25685"/>
    <cellStyle name="Percent 28 11 9" xfId="6033"/>
    <cellStyle name="Percent 28 11 9 2" xfId="25686"/>
    <cellStyle name="Percent 28 11 9_Forecast" xfId="25687"/>
    <cellStyle name="Percent 28 11_Forecast" xfId="25688"/>
    <cellStyle name="Percent 28 12" xfId="6034"/>
    <cellStyle name="Percent 28 12 10" xfId="6035"/>
    <cellStyle name="Percent 28 12 10 2" xfId="25689"/>
    <cellStyle name="Percent 28 12 10_Forecast" xfId="25690"/>
    <cellStyle name="Percent 28 12 11" xfId="6036"/>
    <cellStyle name="Percent 28 12 12" xfId="6037"/>
    <cellStyle name="Percent 28 12 13" xfId="6038"/>
    <cellStyle name="Percent 28 12 14" xfId="6039"/>
    <cellStyle name="Percent 28 12 15" xfId="6040"/>
    <cellStyle name="Percent 28 12 16" xfId="6041"/>
    <cellStyle name="Percent 28 12 17" xfId="6042"/>
    <cellStyle name="Percent 28 12 18" xfId="6043"/>
    <cellStyle name="Percent 28 12 19" xfId="6044"/>
    <cellStyle name="Percent 28 12 2" xfId="6045"/>
    <cellStyle name="Percent 28 12 2 2" xfId="6046"/>
    <cellStyle name="Percent 28 12 2 3" xfId="25691"/>
    <cellStyle name="Percent 28 12 2_Forecast" xfId="25692"/>
    <cellStyle name="Percent 28 12 20" xfId="6047"/>
    <cellStyle name="Percent 28 12 21" xfId="6048"/>
    <cellStyle name="Percent 28 12 22" xfId="6049"/>
    <cellStyle name="Percent 28 12 23" xfId="6050"/>
    <cellStyle name="Percent 28 12 24" xfId="6051"/>
    <cellStyle name="Percent 28 12 25" xfId="6052"/>
    <cellStyle name="Percent 28 12 26" xfId="6053"/>
    <cellStyle name="Percent 28 12 27" xfId="6054"/>
    <cellStyle name="Percent 28 12 28" xfId="6055"/>
    <cellStyle name="Percent 28 12 29" xfId="6056"/>
    <cellStyle name="Percent 28 12 3" xfId="6057"/>
    <cellStyle name="Percent 28 12 3 2" xfId="6058"/>
    <cellStyle name="Percent 28 12 3 3" xfId="25693"/>
    <cellStyle name="Percent 28 12 3_Forecast" xfId="25694"/>
    <cellStyle name="Percent 28 12 30" xfId="25695"/>
    <cellStyle name="Percent 28 12 4" xfId="6059"/>
    <cellStyle name="Percent 28 12 4 2" xfId="6060"/>
    <cellStyle name="Percent 28 12 4 3" xfId="25696"/>
    <cellStyle name="Percent 28 12 4_Forecast" xfId="25697"/>
    <cellStyle name="Percent 28 12 5" xfId="6061"/>
    <cellStyle name="Percent 28 12 5 2" xfId="6062"/>
    <cellStyle name="Percent 28 12 5 3" xfId="25698"/>
    <cellStyle name="Percent 28 12 5_Forecast" xfId="25699"/>
    <cellStyle name="Percent 28 12 6" xfId="6063"/>
    <cellStyle name="Percent 28 12 6 2" xfId="6064"/>
    <cellStyle name="Percent 28 12 6 3" xfId="25700"/>
    <cellStyle name="Percent 28 12 6_Forecast" xfId="25701"/>
    <cellStyle name="Percent 28 12 7" xfId="6065"/>
    <cellStyle name="Percent 28 12 7 2" xfId="6066"/>
    <cellStyle name="Percent 28 12 7 3" xfId="25702"/>
    <cellStyle name="Percent 28 12 7_Forecast" xfId="25703"/>
    <cellStyle name="Percent 28 12 8" xfId="6067"/>
    <cellStyle name="Percent 28 12 8 2" xfId="25704"/>
    <cellStyle name="Percent 28 12 8_Forecast" xfId="25705"/>
    <cellStyle name="Percent 28 12 9" xfId="6068"/>
    <cellStyle name="Percent 28 12 9 2" xfId="25706"/>
    <cellStyle name="Percent 28 12 9_Forecast" xfId="25707"/>
    <cellStyle name="Percent 28 12_Forecast" xfId="25708"/>
    <cellStyle name="Percent 28 13" xfId="6069"/>
    <cellStyle name="Percent 28 13 10" xfId="6070"/>
    <cellStyle name="Percent 28 13 10 2" xfId="25709"/>
    <cellStyle name="Percent 28 13 10_Forecast" xfId="25710"/>
    <cellStyle name="Percent 28 13 11" xfId="6071"/>
    <cellStyle name="Percent 28 13 12" xfId="6072"/>
    <cellStyle name="Percent 28 13 13" xfId="6073"/>
    <cellStyle name="Percent 28 13 14" xfId="6074"/>
    <cellStyle name="Percent 28 13 15" xfId="6075"/>
    <cellStyle name="Percent 28 13 16" xfId="6076"/>
    <cellStyle name="Percent 28 13 17" xfId="6077"/>
    <cellStyle name="Percent 28 13 18" xfId="6078"/>
    <cellStyle name="Percent 28 13 19" xfId="6079"/>
    <cellStyle name="Percent 28 13 2" xfId="6080"/>
    <cellStyle name="Percent 28 13 2 2" xfId="6081"/>
    <cellStyle name="Percent 28 13 2 3" xfId="25711"/>
    <cellStyle name="Percent 28 13 2_Forecast" xfId="25712"/>
    <cellStyle name="Percent 28 13 20" xfId="6082"/>
    <cellStyle name="Percent 28 13 21" xfId="6083"/>
    <cellStyle name="Percent 28 13 22" xfId="6084"/>
    <cellStyle name="Percent 28 13 23" xfId="6085"/>
    <cellStyle name="Percent 28 13 24" xfId="6086"/>
    <cellStyle name="Percent 28 13 25" xfId="6087"/>
    <cellStyle name="Percent 28 13 26" xfId="6088"/>
    <cellStyle name="Percent 28 13 27" xfId="6089"/>
    <cellStyle name="Percent 28 13 28" xfId="6090"/>
    <cellStyle name="Percent 28 13 29" xfId="6091"/>
    <cellStyle name="Percent 28 13 3" xfId="6092"/>
    <cellStyle name="Percent 28 13 3 2" xfId="6093"/>
    <cellStyle name="Percent 28 13 3 3" xfId="25713"/>
    <cellStyle name="Percent 28 13 3_Forecast" xfId="25714"/>
    <cellStyle name="Percent 28 13 30" xfId="25715"/>
    <cellStyle name="Percent 28 13 4" xfId="6094"/>
    <cellStyle name="Percent 28 13 4 2" xfId="6095"/>
    <cellStyle name="Percent 28 13 4 3" xfId="25716"/>
    <cellStyle name="Percent 28 13 4_Forecast" xfId="25717"/>
    <cellStyle name="Percent 28 13 5" xfId="6096"/>
    <cellStyle name="Percent 28 13 5 2" xfId="6097"/>
    <cellStyle name="Percent 28 13 5 3" xfId="25718"/>
    <cellStyle name="Percent 28 13 5_Forecast" xfId="25719"/>
    <cellStyle name="Percent 28 13 6" xfId="6098"/>
    <cellStyle name="Percent 28 13 6 2" xfId="6099"/>
    <cellStyle name="Percent 28 13 6 3" xfId="25720"/>
    <cellStyle name="Percent 28 13 6_Forecast" xfId="25721"/>
    <cellStyle name="Percent 28 13 7" xfId="6100"/>
    <cellStyle name="Percent 28 13 7 2" xfId="6101"/>
    <cellStyle name="Percent 28 13 7 3" xfId="25722"/>
    <cellStyle name="Percent 28 13 7_Forecast" xfId="25723"/>
    <cellStyle name="Percent 28 13 8" xfId="6102"/>
    <cellStyle name="Percent 28 13 8 2" xfId="25724"/>
    <cellStyle name="Percent 28 13 8_Forecast" xfId="25725"/>
    <cellStyle name="Percent 28 13 9" xfId="6103"/>
    <cellStyle name="Percent 28 13 9 2" xfId="25726"/>
    <cellStyle name="Percent 28 13 9_Forecast" xfId="25727"/>
    <cellStyle name="Percent 28 13_Forecast" xfId="25728"/>
    <cellStyle name="Percent 28 14" xfId="6104"/>
    <cellStyle name="Percent 28 14 2" xfId="6105"/>
    <cellStyle name="Percent 28 14 3" xfId="25729"/>
    <cellStyle name="Percent 28 14_Forecast" xfId="25730"/>
    <cellStyle name="Percent 28 15" xfId="6106"/>
    <cellStyle name="Percent 28 15 2" xfId="25731"/>
    <cellStyle name="Percent 28 15_Forecast" xfId="25732"/>
    <cellStyle name="Percent 28 16" xfId="6107"/>
    <cellStyle name="Percent 28 16 2" xfId="25733"/>
    <cellStyle name="Percent 28 16_Forecast" xfId="25734"/>
    <cellStyle name="Percent 28 17" xfId="6108"/>
    <cellStyle name="Percent 28 17 2" xfId="25735"/>
    <cellStyle name="Percent 28 17_Forecast" xfId="25736"/>
    <cellStyle name="Percent 28 18" xfId="6109"/>
    <cellStyle name="Percent 28 18 2" xfId="25737"/>
    <cellStyle name="Percent 28 18_Forecast" xfId="25738"/>
    <cellStyle name="Percent 28 19" xfId="6110"/>
    <cellStyle name="Percent 28 19 2" xfId="25739"/>
    <cellStyle name="Percent 28 19_Forecast" xfId="25740"/>
    <cellStyle name="Percent 28 2" xfId="6111"/>
    <cellStyle name="Percent 28 2 10" xfId="6112"/>
    <cellStyle name="Percent 28 2 10 2" xfId="25741"/>
    <cellStyle name="Percent 28 2 10_Forecast" xfId="25742"/>
    <cellStyle name="Percent 28 2 11" xfId="6113"/>
    <cellStyle name="Percent 28 2 12" xfId="6114"/>
    <cellStyle name="Percent 28 2 13" xfId="6115"/>
    <cellStyle name="Percent 28 2 14" xfId="6116"/>
    <cellStyle name="Percent 28 2 15" xfId="6117"/>
    <cellStyle name="Percent 28 2 16" xfId="6118"/>
    <cellStyle name="Percent 28 2 17" xfId="6119"/>
    <cellStyle name="Percent 28 2 18" xfId="6120"/>
    <cellStyle name="Percent 28 2 19" xfId="6121"/>
    <cellStyle name="Percent 28 2 2" xfId="6122"/>
    <cellStyle name="Percent 28 2 2 2" xfId="6123"/>
    <cellStyle name="Percent 28 2 2 3" xfId="25743"/>
    <cellStyle name="Percent 28 2 2_Forecast" xfId="25744"/>
    <cellStyle name="Percent 28 2 20" xfId="6124"/>
    <cellStyle name="Percent 28 2 21" xfId="6125"/>
    <cellStyle name="Percent 28 2 22" xfId="6126"/>
    <cellStyle name="Percent 28 2 23" xfId="6127"/>
    <cellStyle name="Percent 28 2 24" xfId="6128"/>
    <cellStyle name="Percent 28 2 25" xfId="6129"/>
    <cellStyle name="Percent 28 2 26" xfId="6130"/>
    <cellStyle name="Percent 28 2 27" xfId="6131"/>
    <cellStyle name="Percent 28 2 28" xfId="6132"/>
    <cellStyle name="Percent 28 2 29" xfId="6133"/>
    <cellStyle name="Percent 28 2 3" xfId="6134"/>
    <cellStyle name="Percent 28 2 3 2" xfId="6135"/>
    <cellStyle name="Percent 28 2 3 3" xfId="25745"/>
    <cellStyle name="Percent 28 2 3_Forecast" xfId="25746"/>
    <cellStyle name="Percent 28 2 30" xfId="25747"/>
    <cellStyle name="Percent 28 2 4" xfId="6136"/>
    <cellStyle name="Percent 28 2 4 2" xfId="6137"/>
    <cellStyle name="Percent 28 2 4 3" xfId="25748"/>
    <cellStyle name="Percent 28 2 4_Forecast" xfId="25749"/>
    <cellStyle name="Percent 28 2 5" xfId="6138"/>
    <cellStyle name="Percent 28 2 5 2" xfId="6139"/>
    <cellStyle name="Percent 28 2 5 3" xfId="25750"/>
    <cellStyle name="Percent 28 2 5_Forecast" xfId="25751"/>
    <cellStyle name="Percent 28 2 6" xfId="6140"/>
    <cellStyle name="Percent 28 2 6 2" xfId="6141"/>
    <cellStyle name="Percent 28 2 6 3" xfId="25752"/>
    <cellStyle name="Percent 28 2 6_Forecast" xfId="25753"/>
    <cellStyle name="Percent 28 2 7" xfId="6142"/>
    <cellStyle name="Percent 28 2 7 2" xfId="6143"/>
    <cellStyle name="Percent 28 2 7 3" xfId="25754"/>
    <cellStyle name="Percent 28 2 7_Forecast" xfId="25755"/>
    <cellStyle name="Percent 28 2 8" xfId="6144"/>
    <cellStyle name="Percent 28 2 8 2" xfId="25756"/>
    <cellStyle name="Percent 28 2 8_Forecast" xfId="25757"/>
    <cellStyle name="Percent 28 2 9" xfId="6145"/>
    <cellStyle name="Percent 28 2 9 2" xfId="25758"/>
    <cellStyle name="Percent 28 2 9_Forecast" xfId="25759"/>
    <cellStyle name="Percent 28 2_Forecast" xfId="25760"/>
    <cellStyle name="Percent 28 20" xfId="6146"/>
    <cellStyle name="Percent 28 21" xfId="6147"/>
    <cellStyle name="Percent 28 22" xfId="6148"/>
    <cellStyle name="Percent 28 23" xfId="6149"/>
    <cellStyle name="Percent 28 24" xfId="6150"/>
    <cellStyle name="Percent 28 25" xfId="6151"/>
    <cellStyle name="Percent 28 26" xfId="6152"/>
    <cellStyle name="Percent 28 27" xfId="6153"/>
    <cellStyle name="Percent 28 28" xfId="6154"/>
    <cellStyle name="Percent 28 29" xfId="6155"/>
    <cellStyle name="Percent 28 3" xfId="6156"/>
    <cellStyle name="Percent 28 3 10" xfId="6157"/>
    <cellStyle name="Percent 28 3 10 2" xfId="25761"/>
    <cellStyle name="Percent 28 3 10_Forecast" xfId="25762"/>
    <cellStyle name="Percent 28 3 11" xfId="6158"/>
    <cellStyle name="Percent 28 3 12" xfId="6159"/>
    <cellStyle name="Percent 28 3 13" xfId="6160"/>
    <cellStyle name="Percent 28 3 14" xfId="6161"/>
    <cellStyle name="Percent 28 3 15" xfId="6162"/>
    <cellStyle name="Percent 28 3 16" xfId="6163"/>
    <cellStyle name="Percent 28 3 17" xfId="6164"/>
    <cellStyle name="Percent 28 3 18" xfId="6165"/>
    <cellStyle name="Percent 28 3 19" xfId="6166"/>
    <cellStyle name="Percent 28 3 2" xfId="6167"/>
    <cellStyle name="Percent 28 3 2 2" xfId="6168"/>
    <cellStyle name="Percent 28 3 2 3" xfId="25763"/>
    <cellStyle name="Percent 28 3 2_Forecast" xfId="25764"/>
    <cellStyle name="Percent 28 3 20" xfId="6169"/>
    <cellStyle name="Percent 28 3 21" xfId="6170"/>
    <cellStyle name="Percent 28 3 22" xfId="6171"/>
    <cellStyle name="Percent 28 3 23" xfId="6172"/>
    <cellStyle name="Percent 28 3 24" xfId="6173"/>
    <cellStyle name="Percent 28 3 25" xfId="6174"/>
    <cellStyle name="Percent 28 3 26" xfId="6175"/>
    <cellStyle name="Percent 28 3 27" xfId="6176"/>
    <cellStyle name="Percent 28 3 28" xfId="6177"/>
    <cellStyle name="Percent 28 3 29" xfId="6178"/>
    <cellStyle name="Percent 28 3 3" xfId="6179"/>
    <cellStyle name="Percent 28 3 3 2" xfId="6180"/>
    <cellStyle name="Percent 28 3 3 3" xfId="25765"/>
    <cellStyle name="Percent 28 3 3_Forecast" xfId="25766"/>
    <cellStyle name="Percent 28 3 30" xfId="25767"/>
    <cellStyle name="Percent 28 3 4" xfId="6181"/>
    <cellStyle name="Percent 28 3 4 2" xfId="6182"/>
    <cellStyle name="Percent 28 3 4 3" xfId="25768"/>
    <cellStyle name="Percent 28 3 4_Forecast" xfId="25769"/>
    <cellStyle name="Percent 28 3 5" xfId="6183"/>
    <cellStyle name="Percent 28 3 5 2" xfId="6184"/>
    <cellStyle name="Percent 28 3 5 3" xfId="25770"/>
    <cellStyle name="Percent 28 3 5_Forecast" xfId="25771"/>
    <cellStyle name="Percent 28 3 6" xfId="6185"/>
    <cellStyle name="Percent 28 3 6 2" xfId="6186"/>
    <cellStyle name="Percent 28 3 6 3" xfId="25772"/>
    <cellStyle name="Percent 28 3 6_Forecast" xfId="25773"/>
    <cellStyle name="Percent 28 3 7" xfId="6187"/>
    <cellStyle name="Percent 28 3 7 2" xfId="6188"/>
    <cellStyle name="Percent 28 3 7 3" xfId="25774"/>
    <cellStyle name="Percent 28 3 7_Forecast" xfId="25775"/>
    <cellStyle name="Percent 28 3 8" xfId="6189"/>
    <cellStyle name="Percent 28 3 8 2" xfId="25776"/>
    <cellStyle name="Percent 28 3 8_Forecast" xfId="25777"/>
    <cellStyle name="Percent 28 3 9" xfId="6190"/>
    <cellStyle name="Percent 28 3 9 2" xfId="25778"/>
    <cellStyle name="Percent 28 3 9_Forecast" xfId="25779"/>
    <cellStyle name="Percent 28 3_Forecast" xfId="25780"/>
    <cellStyle name="Percent 28 30" xfId="6191"/>
    <cellStyle name="Percent 28 31" xfId="6192"/>
    <cellStyle name="Percent 28 32" xfId="6193"/>
    <cellStyle name="Percent 28 33" xfId="6194"/>
    <cellStyle name="Percent 28 34" xfId="6195"/>
    <cellStyle name="Percent 28 35" xfId="6196"/>
    <cellStyle name="Percent 28 36" xfId="6197"/>
    <cellStyle name="Percent 28 37" xfId="6198"/>
    <cellStyle name="Percent 28 38" xfId="6199"/>
    <cellStyle name="Percent 28 39" xfId="25781"/>
    <cellStyle name="Percent 28 4" xfId="6200"/>
    <cellStyle name="Percent 28 4 10" xfId="6201"/>
    <cellStyle name="Percent 28 4 10 2" xfId="25782"/>
    <cellStyle name="Percent 28 4 10_Forecast" xfId="25783"/>
    <cellStyle name="Percent 28 4 11" xfId="6202"/>
    <cellStyle name="Percent 28 4 12" xfId="6203"/>
    <cellStyle name="Percent 28 4 13" xfId="6204"/>
    <cellStyle name="Percent 28 4 14" xfId="6205"/>
    <cellStyle name="Percent 28 4 15" xfId="6206"/>
    <cellStyle name="Percent 28 4 16" xfId="6207"/>
    <cellStyle name="Percent 28 4 17" xfId="6208"/>
    <cellStyle name="Percent 28 4 18" xfId="6209"/>
    <cellStyle name="Percent 28 4 19" xfId="6210"/>
    <cellStyle name="Percent 28 4 2" xfId="6211"/>
    <cellStyle name="Percent 28 4 2 2" xfId="6212"/>
    <cellStyle name="Percent 28 4 2 3" xfId="25784"/>
    <cellStyle name="Percent 28 4 2_Forecast" xfId="25785"/>
    <cellStyle name="Percent 28 4 20" xfId="6213"/>
    <cellStyle name="Percent 28 4 21" xfId="6214"/>
    <cellStyle name="Percent 28 4 22" xfId="6215"/>
    <cellStyle name="Percent 28 4 23" xfId="6216"/>
    <cellStyle name="Percent 28 4 24" xfId="6217"/>
    <cellStyle name="Percent 28 4 25" xfId="6218"/>
    <cellStyle name="Percent 28 4 26" xfId="6219"/>
    <cellStyle name="Percent 28 4 27" xfId="6220"/>
    <cellStyle name="Percent 28 4 28" xfId="6221"/>
    <cellStyle name="Percent 28 4 29" xfId="6222"/>
    <cellStyle name="Percent 28 4 3" xfId="6223"/>
    <cellStyle name="Percent 28 4 3 2" xfId="6224"/>
    <cellStyle name="Percent 28 4 3 3" xfId="25786"/>
    <cellStyle name="Percent 28 4 3_Forecast" xfId="25787"/>
    <cellStyle name="Percent 28 4 30" xfId="25788"/>
    <cellStyle name="Percent 28 4 4" xfId="6225"/>
    <cellStyle name="Percent 28 4 4 2" xfId="6226"/>
    <cellStyle name="Percent 28 4 4 3" xfId="25789"/>
    <cellStyle name="Percent 28 4 4_Forecast" xfId="25790"/>
    <cellStyle name="Percent 28 4 5" xfId="6227"/>
    <cellStyle name="Percent 28 4 5 2" xfId="6228"/>
    <cellStyle name="Percent 28 4 5 3" xfId="25791"/>
    <cellStyle name="Percent 28 4 5_Forecast" xfId="25792"/>
    <cellStyle name="Percent 28 4 6" xfId="6229"/>
    <cellStyle name="Percent 28 4 6 2" xfId="6230"/>
    <cellStyle name="Percent 28 4 6 3" xfId="25793"/>
    <cellStyle name="Percent 28 4 6_Forecast" xfId="25794"/>
    <cellStyle name="Percent 28 4 7" xfId="6231"/>
    <cellStyle name="Percent 28 4 7 2" xfId="6232"/>
    <cellStyle name="Percent 28 4 7 3" xfId="25795"/>
    <cellStyle name="Percent 28 4 7_Forecast" xfId="25796"/>
    <cellStyle name="Percent 28 4 8" xfId="6233"/>
    <cellStyle name="Percent 28 4 8 2" xfId="25797"/>
    <cellStyle name="Percent 28 4 8_Forecast" xfId="25798"/>
    <cellStyle name="Percent 28 4 9" xfId="6234"/>
    <cellStyle name="Percent 28 4 9 2" xfId="25799"/>
    <cellStyle name="Percent 28 4 9_Forecast" xfId="25800"/>
    <cellStyle name="Percent 28 4_Forecast" xfId="25801"/>
    <cellStyle name="Percent 28 5" xfId="6235"/>
    <cellStyle name="Percent 28 5 10" xfId="6236"/>
    <cellStyle name="Percent 28 5 10 2" xfId="25802"/>
    <cellStyle name="Percent 28 5 10_Forecast" xfId="25803"/>
    <cellStyle name="Percent 28 5 11" xfId="6237"/>
    <cellStyle name="Percent 28 5 12" xfId="6238"/>
    <cellStyle name="Percent 28 5 13" xfId="6239"/>
    <cellStyle name="Percent 28 5 14" xfId="6240"/>
    <cellStyle name="Percent 28 5 15" xfId="6241"/>
    <cellStyle name="Percent 28 5 16" xfId="6242"/>
    <cellStyle name="Percent 28 5 17" xfId="6243"/>
    <cellStyle name="Percent 28 5 18" xfId="6244"/>
    <cellStyle name="Percent 28 5 19" xfId="6245"/>
    <cellStyle name="Percent 28 5 2" xfId="6246"/>
    <cellStyle name="Percent 28 5 2 2" xfId="6247"/>
    <cellStyle name="Percent 28 5 2 3" xfId="25804"/>
    <cellStyle name="Percent 28 5 2_Forecast" xfId="25805"/>
    <cellStyle name="Percent 28 5 20" xfId="6248"/>
    <cellStyle name="Percent 28 5 21" xfId="6249"/>
    <cellStyle name="Percent 28 5 22" xfId="6250"/>
    <cellStyle name="Percent 28 5 23" xfId="6251"/>
    <cellStyle name="Percent 28 5 24" xfId="6252"/>
    <cellStyle name="Percent 28 5 25" xfId="6253"/>
    <cellStyle name="Percent 28 5 26" xfId="6254"/>
    <cellStyle name="Percent 28 5 27" xfId="6255"/>
    <cellStyle name="Percent 28 5 28" xfId="6256"/>
    <cellStyle name="Percent 28 5 29" xfId="6257"/>
    <cellStyle name="Percent 28 5 3" xfId="6258"/>
    <cellStyle name="Percent 28 5 3 2" xfId="6259"/>
    <cellStyle name="Percent 28 5 3 3" xfId="25806"/>
    <cellStyle name="Percent 28 5 3_Forecast" xfId="25807"/>
    <cellStyle name="Percent 28 5 30" xfId="25808"/>
    <cellStyle name="Percent 28 5 4" xfId="6260"/>
    <cellStyle name="Percent 28 5 4 2" xfId="6261"/>
    <cellStyle name="Percent 28 5 4 3" xfId="25809"/>
    <cellStyle name="Percent 28 5 4_Forecast" xfId="25810"/>
    <cellStyle name="Percent 28 5 5" xfId="6262"/>
    <cellStyle name="Percent 28 5 5 2" xfId="6263"/>
    <cellStyle name="Percent 28 5 5 3" xfId="25811"/>
    <cellStyle name="Percent 28 5 5_Forecast" xfId="25812"/>
    <cellStyle name="Percent 28 5 6" xfId="6264"/>
    <cellStyle name="Percent 28 5 6 2" xfId="6265"/>
    <cellStyle name="Percent 28 5 6 3" xfId="25813"/>
    <cellStyle name="Percent 28 5 6_Forecast" xfId="25814"/>
    <cellStyle name="Percent 28 5 7" xfId="6266"/>
    <cellStyle name="Percent 28 5 7 2" xfId="6267"/>
    <cellStyle name="Percent 28 5 7 3" xfId="25815"/>
    <cellStyle name="Percent 28 5 7_Forecast" xfId="25816"/>
    <cellStyle name="Percent 28 5 8" xfId="6268"/>
    <cellStyle name="Percent 28 5 8 2" xfId="25817"/>
    <cellStyle name="Percent 28 5 8_Forecast" xfId="25818"/>
    <cellStyle name="Percent 28 5 9" xfId="6269"/>
    <cellStyle name="Percent 28 5 9 2" xfId="25819"/>
    <cellStyle name="Percent 28 5 9_Forecast" xfId="25820"/>
    <cellStyle name="Percent 28 5_Forecast" xfId="25821"/>
    <cellStyle name="Percent 28 6" xfId="6270"/>
    <cellStyle name="Percent 28 6 10" xfId="6271"/>
    <cellStyle name="Percent 28 6 10 2" xfId="25822"/>
    <cellStyle name="Percent 28 6 10_Forecast" xfId="25823"/>
    <cellStyle name="Percent 28 6 11" xfId="6272"/>
    <cellStyle name="Percent 28 6 12" xfId="6273"/>
    <cellStyle name="Percent 28 6 13" xfId="6274"/>
    <cellStyle name="Percent 28 6 14" xfId="6275"/>
    <cellStyle name="Percent 28 6 15" xfId="6276"/>
    <cellStyle name="Percent 28 6 16" xfId="6277"/>
    <cellStyle name="Percent 28 6 17" xfId="6278"/>
    <cellStyle name="Percent 28 6 18" xfId="6279"/>
    <cellStyle name="Percent 28 6 19" xfId="6280"/>
    <cellStyle name="Percent 28 6 2" xfId="6281"/>
    <cellStyle name="Percent 28 6 2 2" xfId="6282"/>
    <cellStyle name="Percent 28 6 2 3" xfId="25824"/>
    <cellStyle name="Percent 28 6 2_Forecast" xfId="25825"/>
    <cellStyle name="Percent 28 6 20" xfId="6283"/>
    <cellStyle name="Percent 28 6 21" xfId="6284"/>
    <cellStyle name="Percent 28 6 22" xfId="6285"/>
    <cellStyle name="Percent 28 6 23" xfId="6286"/>
    <cellStyle name="Percent 28 6 24" xfId="6287"/>
    <cellStyle name="Percent 28 6 25" xfId="6288"/>
    <cellStyle name="Percent 28 6 26" xfId="6289"/>
    <cellStyle name="Percent 28 6 27" xfId="6290"/>
    <cellStyle name="Percent 28 6 28" xfId="6291"/>
    <cellStyle name="Percent 28 6 29" xfId="6292"/>
    <cellStyle name="Percent 28 6 3" xfId="6293"/>
    <cellStyle name="Percent 28 6 3 2" xfId="6294"/>
    <cellStyle name="Percent 28 6 3 3" xfId="25826"/>
    <cellStyle name="Percent 28 6 3_Forecast" xfId="25827"/>
    <cellStyle name="Percent 28 6 30" xfId="25828"/>
    <cellStyle name="Percent 28 6 4" xfId="6295"/>
    <cellStyle name="Percent 28 6 4 2" xfId="6296"/>
    <cellStyle name="Percent 28 6 4 3" xfId="25829"/>
    <cellStyle name="Percent 28 6 4_Forecast" xfId="25830"/>
    <cellStyle name="Percent 28 6 5" xfId="6297"/>
    <cellStyle name="Percent 28 6 5 2" xfId="6298"/>
    <cellStyle name="Percent 28 6 5 3" xfId="25831"/>
    <cellStyle name="Percent 28 6 5_Forecast" xfId="25832"/>
    <cellStyle name="Percent 28 6 6" xfId="6299"/>
    <cellStyle name="Percent 28 6 6 2" xfId="6300"/>
    <cellStyle name="Percent 28 6 6 3" xfId="25833"/>
    <cellStyle name="Percent 28 6 6_Forecast" xfId="25834"/>
    <cellStyle name="Percent 28 6 7" xfId="6301"/>
    <cellStyle name="Percent 28 6 7 2" xfId="6302"/>
    <cellStyle name="Percent 28 6 7 3" xfId="25835"/>
    <cellStyle name="Percent 28 6 7_Forecast" xfId="25836"/>
    <cellStyle name="Percent 28 6 8" xfId="6303"/>
    <cellStyle name="Percent 28 6 8 2" xfId="25837"/>
    <cellStyle name="Percent 28 6 8_Forecast" xfId="25838"/>
    <cellStyle name="Percent 28 6 9" xfId="6304"/>
    <cellStyle name="Percent 28 6 9 2" xfId="25839"/>
    <cellStyle name="Percent 28 6 9_Forecast" xfId="25840"/>
    <cellStyle name="Percent 28 6_Forecast" xfId="25841"/>
    <cellStyle name="Percent 28 7" xfId="6305"/>
    <cellStyle name="Percent 28 7 10" xfId="6306"/>
    <cellStyle name="Percent 28 7 10 2" xfId="25842"/>
    <cellStyle name="Percent 28 7 10_Forecast" xfId="25843"/>
    <cellStyle name="Percent 28 7 11" xfId="6307"/>
    <cellStyle name="Percent 28 7 12" xfId="6308"/>
    <cellStyle name="Percent 28 7 13" xfId="6309"/>
    <cellStyle name="Percent 28 7 14" xfId="6310"/>
    <cellStyle name="Percent 28 7 15" xfId="6311"/>
    <cellStyle name="Percent 28 7 16" xfId="6312"/>
    <cellStyle name="Percent 28 7 17" xfId="6313"/>
    <cellStyle name="Percent 28 7 18" xfId="6314"/>
    <cellStyle name="Percent 28 7 19" xfId="6315"/>
    <cellStyle name="Percent 28 7 2" xfId="6316"/>
    <cellStyle name="Percent 28 7 2 2" xfId="6317"/>
    <cellStyle name="Percent 28 7 2 3" xfId="25844"/>
    <cellStyle name="Percent 28 7 2_Forecast" xfId="25845"/>
    <cellStyle name="Percent 28 7 20" xfId="6318"/>
    <cellStyle name="Percent 28 7 21" xfId="6319"/>
    <cellStyle name="Percent 28 7 22" xfId="6320"/>
    <cellStyle name="Percent 28 7 23" xfId="6321"/>
    <cellStyle name="Percent 28 7 24" xfId="6322"/>
    <cellStyle name="Percent 28 7 25" xfId="6323"/>
    <cellStyle name="Percent 28 7 26" xfId="6324"/>
    <cellStyle name="Percent 28 7 27" xfId="6325"/>
    <cellStyle name="Percent 28 7 28" xfId="6326"/>
    <cellStyle name="Percent 28 7 29" xfId="6327"/>
    <cellStyle name="Percent 28 7 3" xfId="6328"/>
    <cellStyle name="Percent 28 7 3 2" xfId="6329"/>
    <cellStyle name="Percent 28 7 3 3" xfId="25846"/>
    <cellStyle name="Percent 28 7 3_Forecast" xfId="25847"/>
    <cellStyle name="Percent 28 7 30" xfId="25848"/>
    <cellStyle name="Percent 28 7 4" xfId="6330"/>
    <cellStyle name="Percent 28 7 4 2" xfId="6331"/>
    <cellStyle name="Percent 28 7 4 3" xfId="25849"/>
    <cellStyle name="Percent 28 7 4_Forecast" xfId="25850"/>
    <cellStyle name="Percent 28 7 5" xfId="6332"/>
    <cellStyle name="Percent 28 7 5 2" xfId="6333"/>
    <cellStyle name="Percent 28 7 5 3" xfId="25851"/>
    <cellStyle name="Percent 28 7 5_Forecast" xfId="25852"/>
    <cellStyle name="Percent 28 7 6" xfId="6334"/>
    <cellStyle name="Percent 28 7 6 2" xfId="6335"/>
    <cellStyle name="Percent 28 7 6 3" xfId="25853"/>
    <cellStyle name="Percent 28 7 6_Forecast" xfId="25854"/>
    <cellStyle name="Percent 28 7 7" xfId="6336"/>
    <cellStyle name="Percent 28 7 7 2" xfId="6337"/>
    <cellStyle name="Percent 28 7 7 3" xfId="25855"/>
    <cellStyle name="Percent 28 7 7_Forecast" xfId="25856"/>
    <cellStyle name="Percent 28 7 8" xfId="6338"/>
    <cellStyle name="Percent 28 7 8 2" xfId="25857"/>
    <cellStyle name="Percent 28 7 8_Forecast" xfId="25858"/>
    <cellStyle name="Percent 28 7 9" xfId="6339"/>
    <cellStyle name="Percent 28 7 9 2" xfId="25859"/>
    <cellStyle name="Percent 28 7 9_Forecast" xfId="25860"/>
    <cellStyle name="Percent 28 7_Forecast" xfId="25861"/>
    <cellStyle name="Percent 28 8" xfId="6340"/>
    <cellStyle name="Percent 28 8 10" xfId="6341"/>
    <cellStyle name="Percent 28 8 10 2" xfId="25862"/>
    <cellStyle name="Percent 28 8 10_Forecast" xfId="25863"/>
    <cellStyle name="Percent 28 8 11" xfId="6342"/>
    <cellStyle name="Percent 28 8 12" xfId="6343"/>
    <cellStyle name="Percent 28 8 13" xfId="6344"/>
    <cellStyle name="Percent 28 8 14" xfId="6345"/>
    <cellStyle name="Percent 28 8 15" xfId="6346"/>
    <cellStyle name="Percent 28 8 16" xfId="6347"/>
    <cellStyle name="Percent 28 8 17" xfId="6348"/>
    <cellStyle name="Percent 28 8 18" xfId="6349"/>
    <cellStyle name="Percent 28 8 19" xfId="6350"/>
    <cellStyle name="Percent 28 8 2" xfId="6351"/>
    <cellStyle name="Percent 28 8 2 2" xfId="6352"/>
    <cellStyle name="Percent 28 8 2 3" xfId="25864"/>
    <cellStyle name="Percent 28 8 2_Forecast" xfId="25865"/>
    <cellStyle name="Percent 28 8 20" xfId="6353"/>
    <cellStyle name="Percent 28 8 21" xfId="6354"/>
    <cellStyle name="Percent 28 8 22" xfId="6355"/>
    <cellStyle name="Percent 28 8 23" xfId="6356"/>
    <cellStyle name="Percent 28 8 24" xfId="6357"/>
    <cellStyle name="Percent 28 8 25" xfId="6358"/>
    <cellStyle name="Percent 28 8 26" xfId="6359"/>
    <cellStyle name="Percent 28 8 27" xfId="6360"/>
    <cellStyle name="Percent 28 8 28" xfId="6361"/>
    <cellStyle name="Percent 28 8 29" xfId="6362"/>
    <cellStyle name="Percent 28 8 3" xfId="6363"/>
    <cellStyle name="Percent 28 8 3 2" xfId="6364"/>
    <cellStyle name="Percent 28 8 3 3" xfId="25866"/>
    <cellStyle name="Percent 28 8 3_Forecast" xfId="25867"/>
    <cellStyle name="Percent 28 8 30" xfId="25868"/>
    <cellStyle name="Percent 28 8 4" xfId="6365"/>
    <cellStyle name="Percent 28 8 4 2" xfId="6366"/>
    <cellStyle name="Percent 28 8 4 3" xfId="25869"/>
    <cellStyle name="Percent 28 8 4_Forecast" xfId="25870"/>
    <cellStyle name="Percent 28 8 5" xfId="6367"/>
    <cellStyle name="Percent 28 8 5 2" xfId="6368"/>
    <cellStyle name="Percent 28 8 5 3" xfId="25871"/>
    <cellStyle name="Percent 28 8 5_Forecast" xfId="25872"/>
    <cellStyle name="Percent 28 8 6" xfId="6369"/>
    <cellStyle name="Percent 28 8 6 2" xfId="6370"/>
    <cellStyle name="Percent 28 8 6 3" xfId="25873"/>
    <cellStyle name="Percent 28 8 6_Forecast" xfId="25874"/>
    <cellStyle name="Percent 28 8 7" xfId="6371"/>
    <cellStyle name="Percent 28 8 7 2" xfId="6372"/>
    <cellStyle name="Percent 28 8 7 3" xfId="25875"/>
    <cellStyle name="Percent 28 8 7_Forecast" xfId="25876"/>
    <cellStyle name="Percent 28 8 8" xfId="6373"/>
    <cellStyle name="Percent 28 8 8 2" xfId="25877"/>
    <cellStyle name="Percent 28 8 8_Forecast" xfId="25878"/>
    <cellStyle name="Percent 28 8 9" xfId="6374"/>
    <cellStyle name="Percent 28 8 9 2" xfId="25879"/>
    <cellStyle name="Percent 28 8 9_Forecast" xfId="25880"/>
    <cellStyle name="Percent 28 8_Forecast" xfId="25881"/>
    <cellStyle name="Percent 28 9" xfId="6375"/>
    <cellStyle name="Percent 28 9 10" xfId="6376"/>
    <cellStyle name="Percent 28 9 10 2" xfId="25882"/>
    <cellStyle name="Percent 28 9 10_Forecast" xfId="25883"/>
    <cellStyle name="Percent 28 9 11" xfId="6377"/>
    <cellStyle name="Percent 28 9 12" xfId="6378"/>
    <cellStyle name="Percent 28 9 13" xfId="6379"/>
    <cellStyle name="Percent 28 9 14" xfId="6380"/>
    <cellStyle name="Percent 28 9 15" xfId="6381"/>
    <cellStyle name="Percent 28 9 16" xfId="6382"/>
    <cellStyle name="Percent 28 9 17" xfId="6383"/>
    <cellStyle name="Percent 28 9 18" xfId="6384"/>
    <cellStyle name="Percent 28 9 19" xfId="6385"/>
    <cellStyle name="Percent 28 9 2" xfId="6386"/>
    <cellStyle name="Percent 28 9 2 2" xfId="6387"/>
    <cellStyle name="Percent 28 9 2 3" xfId="25884"/>
    <cellStyle name="Percent 28 9 2_Forecast" xfId="25885"/>
    <cellStyle name="Percent 28 9 20" xfId="6388"/>
    <cellStyle name="Percent 28 9 21" xfId="6389"/>
    <cellStyle name="Percent 28 9 22" xfId="6390"/>
    <cellStyle name="Percent 28 9 23" xfId="6391"/>
    <cellStyle name="Percent 28 9 24" xfId="6392"/>
    <cellStyle name="Percent 28 9 25" xfId="6393"/>
    <cellStyle name="Percent 28 9 26" xfId="6394"/>
    <cellStyle name="Percent 28 9 27" xfId="6395"/>
    <cellStyle name="Percent 28 9 28" xfId="6396"/>
    <cellStyle name="Percent 28 9 29" xfId="6397"/>
    <cellStyle name="Percent 28 9 3" xfId="6398"/>
    <cellStyle name="Percent 28 9 3 2" xfId="6399"/>
    <cellStyle name="Percent 28 9 3 3" xfId="25886"/>
    <cellStyle name="Percent 28 9 3_Forecast" xfId="25887"/>
    <cellStyle name="Percent 28 9 30" xfId="25888"/>
    <cellStyle name="Percent 28 9 4" xfId="6400"/>
    <cellStyle name="Percent 28 9 4 2" xfId="6401"/>
    <cellStyle name="Percent 28 9 4 3" xfId="25889"/>
    <cellStyle name="Percent 28 9 4_Forecast" xfId="25890"/>
    <cellStyle name="Percent 28 9 5" xfId="6402"/>
    <cellStyle name="Percent 28 9 5 2" xfId="6403"/>
    <cellStyle name="Percent 28 9 5 3" xfId="25891"/>
    <cellStyle name="Percent 28 9 5_Forecast" xfId="25892"/>
    <cellStyle name="Percent 28 9 6" xfId="6404"/>
    <cellStyle name="Percent 28 9 6 2" xfId="6405"/>
    <cellStyle name="Percent 28 9 6 3" xfId="25893"/>
    <cellStyle name="Percent 28 9 6_Forecast" xfId="25894"/>
    <cellStyle name="Percent 28 9 7" xfId="6406"/>
    <cellStyle name="Percent 28 9 7 2" xfId="6407"/>
    <cellStyle name="Percent 28 9 7 3" xfId="25895"/>
    <cellStyle name="Percent 28 9 7_Forecast" xfId="25896"/>
    <cellStyle name="Percent 28 9 8" xfId="6408"/>
    <cellStyle name="Percent 28 9 8 2" xfId="25897"/>
    <cellStyle name="Percent 28 9 8_Forecast" xfId="25898"/>
    <cellStyle name="Percent 28 9 9" xfId="6409"/>
    <cellStyle name="Percent 28 9 9 2" xfId="25899"/>
    <cellStyle name="Percent 28 9 9_Forecast" xfId="25900"/>
    <cellStyle name="Percent 28 9_Forecast" xfId="25901"/>
    <cellStyle name="Percent 28_Forecast" xfId="25902"/>
    <cellStyle name="Percent 29" xfId="6410"/>
    <cellStyle name="Percent 29 10" xfId="6411"/>
    <cellStyle name="Percent 29 10 2" xfId="25903"/>
    <cellStyle name="Percent 29 10_Forecast" xfId="25904"/>
    <cellStyle name="Percent 29 11" xfId="6412"/>
    <cellStyle name="Percent 29 12" xfId="6413"/>
    <cellStyle name="Percent 29 13" xfId="6414"/>
    <cellStyle name="Percent 29 14" xfId="6415"/>
    <cellStyle name="Percent 29 15" xfId="6416"/>
    <cellStyle name="Percent 29 16" xfId="6417"/>
    <cellStyle name="Percent 29 17" xfId="6418"/>
    <cellStyle name="Percent 29 18" xfId="6419"/>
    <cellStyle name="Percent 29 19" xfId="6420"/>
    <cellStyle name="Percent 29 2" xfId="6421"/>
    <cellStyle name="Percent 29 2 2" xfId="6422"/>
    <cellStyle name="Percent 29 2 3" xfId="25905"/>
    <cellStyle name="Percent 29 2_Forecast" xfId="25906"/>
    <cellStyle name="Percent 29 20" xfId="6423"/>
    <cellStyle name="Percent 29 21" xfId="6424"/>
    <cellStyle name="Percent 29 22" xfId="6425"/>
    <cellStyle name="Percent 29 23" xfId="6426"/>
    <cellStyle name="Percent 29 24" xfId="6427"/>
    <cellStyle name="Percent 29 25" xfId="6428"/>
    <cellStyle name="Percent 29 26" xfId="6429"/>
    <cellStyle name="Percent 29 27" xfId="6430"/>
    <cellStyle name="Percent 29 28" xfId="6431"/>
    <cellStyle name="Percent 29 29" xfId="6432"/>
    <cellStyle name="Percent 29 3" xfId="6433"/>
    <cellStyle name="Percent 29 3 2" xfId="6434"/>
    <cellStyle name="Percent 29 3 3" xfId="25907"/>
    <cellStyle name="Percent 29 3_Forecast" xfId="25908"/>
    <cellStyle name="Percent 29 30" xfId="25909"/>
    <cellStyle name="Percent 29 4" xfId="6435"/>
    <cellStyle name="Percent 29 4 2" xfId="6436"/>
    <cellStyle name="Percent 29 4 3" xfId="25910"/>
    <cellStyle name="Percent 29 4_Forecast" xfId="25911"/>
    <cellStyle name="Percent 29 5" xfId="6437"/>
    <cellStyle name="Percent 29 5 2" xfId="6438"/>
    <cellStyle name="Percent 29 5 3" xfId="25912"/>
    <cellStyle name="Percent 29 5_Forecast" xfId="25913"/>
    <cellStyle name="Percent 29 6" xfId="6439"/>
    <cellStyle name="Percent 29 6 2" xfId="6440"/>
    <cellStyle name="Percent 29 6 3" xfId="25914"/>
    <cellStyle name="Percent 29 6_Forecast" xfId="25915"/>
    <cellStyle name="Percent 29 7" xfId="6441"/>
    <cellStyle name="Percent 29 7 2" xfId="6442"/>
    <cellStyle name="Percent 29 7 3" xfId="25916"/>
    <cellStyle name="Percent 29 7_Forecast" xfId="25917"/>
    <cellStyle name="Percent 29 8" xfId="6443"/>
    <cellStyle name="Percent 29 8 2" xfId="25918"/>
    <cellStyle name="Percent 29 8_Forecast" xfId="25919"/>
    <cellStyle name="Percent 29 9" xfId="6444"/>
    <cellStyle name="Percent 29 9 2" xfId="25920"/>
    <cellStyle name="Percent 29 9_Forecast" xfId="25921"/>
    <cellStyle name="Percent 29_Forecast" xfId="25922"/>
    <cellStyle name="Percent 3" xfId="6445"/>
    <cellStyle name="Percent 3 10" xfId="6446"/>
    <cellStyle name="Percent 3 10 2" xfId="25923"/>
    <cellStyle name="Percent 3 10_Forecast" xfId="25924"/>
    <cellStyle name="Percent 3 11" xfId="6447"/>
    <cellStyle name="Percent 3 12" xfId="6448"/>
    <cellStyle name="Percent 3 13" xfId="6449"/>
    <cellStyle name="Percent 3 14" xfId="6450"/>
    <cellStyle name="Percent 3 15" xfId="6451"/>
    <cellStyle name="Percent 3 16" xfId="6452"/>
    <cellStyle name="Percent 3 17" xfId="6453"/>
    <cellStyle name="Percent 3 18" xfId="6454"/>
    <cellStyle name="Percent 3 19" xfId="6455"/>
    <cellStyle name="Percent 3 2" xfId="6456"/>
    <cellStyle name="Percent 3 2 2" xfId="6457"/>
    <cellStyle name="Percent 3 2 3" xfId="20667"/>
    <cellStyle name="Percent 3 2_Forecast" xfId="25925"/>
    <cellStyle name="Percent 3 20" xfId="6458"/>
    <cellStyle name="Percent 3 21" xfId="6459"/>
    <cellStyle name="Percent 3 22" xfId="6460"/>
    <cellStyle name="Percent 3 23" xfId="6461"/>
    <cellStyle name="Percent 3 24" xfId="6462"/>
    <cellStyle name="Percent 3 25" xfId="6463"/>
    <cellStyle name="Percent 3 26" xfId="6464"/>
    <cellStyle name="Percent 3 27" xfId="6465"/>
    <cellStyle name="Percent 3 28" xfId="6466"/>
    <cellStyle name="Percent 3 29" xfId="6467"/>
    <cellStyle name="Percent 3 3" xfId="6468"/>
    <cellStyle name="Percent 3 3 2" xfId="6469"/>
    <cellStyle name="Percent 3 3 3" xfId="20668"/>
    <cellStyle name="Percent 3 3_Forecast" xfId="25926"/>
    <cellStyle name="Percent 3 30" xfId="20666"/>
    <cellStyle name="Percent 3 31" xfId="21942"/>
    <cellStyle name="Percent 3 32" xfId="21922"/>
    <cellStyle name="Percent 3 4" xfId="6470"/>
    <cellStyle name="Percent 3 4 2" xfId="6471"/>
    <cellStyle name="Percent 3 4 3" xfId="20669"/>
    <cellStyle name="Percent 3 4_Forecast" xfId="25927"/>
    <cellStyle name="Percent 3 5" xfId="6472"/>
    <cellStyle name="Percent 3 5 2" xfId="6473"/>
    <cellStyle name="Percent 3 5 3" xfId="20670"/>
    <cellStyle name="Percent 3 5_Forecast" xfId="25928"/>
    <cellStyle name="Percent 3 6" xfId="6474"/>
    <cellStyle name="Percent 3 6 2" xfId="6475"/>
    <cellStyle name="Percent 3 6 3" xfId="20671"/>
    <cellStyle name="Percent 3 6_Forecast" xfId="25929"/>
    <cellStyle name="Percent 3 7" xfId="6476"/>
    <cellStyle name="Percent 3 7 2" xfId="6477"/>
    <cellStyle name="Percent 3 7 3" xfId="20672"/>
    <cellStyle name="Percent 3 7_Forecast" xfId="25930"/>
    <cellStyle name="Percent 3 8" xfId="6478"/>
    <cellStyle name="Percent 3 8 2" xfId="20673"/>
    <cellStyle name="Percent 3 8_Forecast" xfId="25931"/>
    <cellStyle name="Percent 3 9" xfId="6479"/>
    <cellStyle name="Percent 3 9 2" xfId="25932"/>
    <cellStyle name="Percent 3 9_Forecast" xfId="25933"/>
    <cellStyle name="Percent 3_Forecast" xfId="25934"/>
    <cellStyle name="Percent 30" xfId="21688"/>
    <cellStyle name="Percent 31" xfId="21948"/>
    <cellStyle name="Percent 32" xfId="21920"/>
    <cellStyle name="Percent 4" xfId="6480"/>
    <cellStyle name="Percent 4 10" xfId="6481"/>
    <cellStyle name="Percent 4 10 2" xfId="6482"/>
    <cellStyle name="Percent 4 10 3" xfId="25935"/>
    <cellStyle name="Percent 4 10_Forecast" xfId="25936"/>
    <cellStyle name="Percent 4 11" xfId="6483"/>
    <cellStyle name="Percent 4 11 2" xfId="25937"/>
    <cellStyle name="Percent 4 11_Forecast" xfId="25938"/>
    <cellStyle name="Percent 4 12" xfId="6484"/>
    <cellStyle name="Percent 4 12 2" xfId="25939"/>
    <cellStyle name="Percent 4 12_Forecast" xfId="25940"/>
    <cellStyle name="Percent 4 13" xfId="6485"/>
    <cellStyle name="Percent 4 13 2" xfId="25941"/>
    <cellStyle name="Percent 4 13_Forecast" xfId="25942"/>
    <cellStyle name="Percent 4 14" xfId="6486"/>
    <cellStyle name="Percent 4 15" xfId="6487"/>
    <cellStyle name="Percent 4 16" xfId="6488"/>
    <cellStyle name="Percent 4 17" xfId="6489"/>
    <cellStyle name="Percent 4 18" xfId="6490"/>
    <cellStyle name="Percent 4 19" xfId="6491"/>
    <cellStyle name="Percent 4 2" xfId="6492"/>
    <cellStyle name="Percent 4 2 10" xfId="6493"/>
    <cellStyle name="Percent 4 2 10 2" xfId="25943"/>
    <cellStyle name="Percent 4 2 10_Forecast" xfId="25944"/>
    <cellStyle name="Percent 4 2 11" xfId="6494"/>
    <cellStyle name="Percent 4 2 12" xfId="6495"/>
    <cellStyle name="Percent 4 2 13" xfId="6496"/>
    <cellStyle name="Percent 4 2 14" xfId="6497"/>
    <cellStyle name="Percent 4 2 15" xfId="6498"/>
    <cellStyle name="Percent 4 2 16" xfId="6499"/>
    <cellStyle name="Percent 4 2 17" xfId="6500"/>
    <cellStyle name="Percent 4 2 18" xfId="6501"/>
    <cellStyle name="Percent 4 2 19" xfId="6502"/>
    <cellStyle name="Percent 4 2 2" xfId="6503"/>
    <cellStyle name="Percent 4 2 2 2" xfId="6504"/>
    <cellStyle name="Percent 4 2 2 3" xfId="25945"/>
    <cellStyle name="Percent 4 2 2_Forecast" xfId="25946"/>
    <cellStyle name="Percent 4 2 20" xfId="6505"/>
    <cellStyle name="Percent 4 2 21" xfId="6506"/>
    <cellStyle name="Percent 4 2 22" xfId="6507"/>
    <cellStyle name="Percent 4 2 23" xfId="6508"/>
    <cellStyle name="Percent 4 2 24" xfId="6509"/>
    <cellStyle name="Percent 4 2 25" xfId="6510"/>
    <cellStyle name="Percent 4 2 26" xfId="6511"/>
    <cellStyle name="Percent 4 2 27" xfId="6512"/>
    <cellStyle name="Percent 4 2 28" xfId="6513"/>
    <cellStyle name="Percent 4 2 29" xfId="6514"/>
    <cellStyle name="Percent 4 2 3" xfId="6515"/>
    <cellStyle name="Percent 4 2 3 2" xfId="6516"/>
    <cellStyle name="Percent 4 2 3 3" xfId="25947"/>
    <cellStyle name="Percent 4 2 3_Forecast" xfId="25948"/>
    <cellStyle name="Percent 4 2 30" xfId="20675"/>
    <cellStyle name="Percent 4 2 4" xfId="6517"/>
    <cellStyle name="Percent 4 2 4 2" xfId="6518"/>
    <cellStyle name="Percent 4 2 4 3" xfId="25949"/>
    <cellStyle name="Percent 4 2 4_Forecast" xfId="25950"/>
    <cellStyle name="Percent 4 2 5" xfId="6519"/>
    <cellStyle name="Percent 4 2 5 2" xfId="6520"/>
    <cellStyle name="Percent 4 2 5 3" xfId="25951"/>
    <cellStyle name="Percent 4 2 5_Forecast" xfId="25952"/>
    <cellStyle name="Percent 4 2 6" xfId="6521"/>
    <cellStyle name="Percent 4 2 6 2" xfId="6522"/>
    <cellStyle name="Percent 4 2 6 3" xfId="25953"/>
    <cellStyle name="Percent 4 2 6_Forecast" xfId="25954"/>
    <cellStyle name="Percent 4 2 7" xfId="6523"/>
    <cellStyle name="Percent 4 2 7 2" xfId="6524"/>
    <cellStyle name="Percent 4 2 7 3" xfId="25955"/>
    <cellStyle name="Percent 4 2 7_Forecast" xfId="25956"/>
    <cellStyle name="Percent 4 2 8" xfId="6525"/>
    <cellStyle name="Percent 4 2 8 2" xfId="25957"/>
    <cellStyle name="Percent 4 2 8_Forecast" xfId="25958"/>
    <cellStyle name="Percent 4 2 9" xfId="6526"/>
    <cellStyle name="Percent 4 2 9 2" xfId="25959"/>
    <cellStyle name="Percent 4 2 9_Forecast" xfId="25960"/>
    <cellStyle name="Percent 4 2_Forecast" xfId="25961"/>
    <cellStyle name="Percent 4 20" xfId="6527"/>
    <cellStyle name="Percent 4 21" xfId="6528"/>
    <cellStyle name="Percent 4 22" xfId="6529"/>
    <cellStyle name="Percent 4 23" xfId="6530"/>
    <cellStyle name="Percent 4 24" xfId="6531"/>
    <cellStyle name="Percent 4 25" xfId="6532"/>
    <cellStyle name="Percent 4 26" xfId="6533"/>
    <cellStyle name="Percent 4 27" xfId="6534"/>
    <cellStyle name="Percent 4 28" xfId="6535"/>
    <cellStyle name="Percent 4 29" xfId="6536"/>
    <cellStyle name="Percent 4 3" xfId="6537"/>
    <cellStyle name="Percent 4 3 10" xfId="6538"/>
    <cellStyle name="Percent 4 3 10 2" xfId="25962"/>
    <cellStyle name="Percent 4 3 10_Forecast" xfId="25963"/>
    <cellStyle name="Percent 4 3 11" xfId="6539"/>
    <cellStyle name="Percent 4 3 12" xfId="6540"/>
    <cellStyle name="Percent 4 3 13" xfId="6541"/>
    <cellStyle name="Percent 4 3 14" xfId="6542"/>
    <cellStyle name="Percent 4 3 15" xfId="6543"/>
    <cellStyle name="Percent 4 3 16" xfId="6544"/>
    <cellStyle name="Percent 4 3 17" xfId="6545"/>
    <cellStyle name="Percent 4 3 18" xfId="6546"/>
    <cellStyle name="Percent 4 3 19" xfId="6547"/>
    <cellStyle name="Percent 4 3 2" xfId="6548"/>
    <cellStyle name="Percent 4 3 2 2" xfId="6549"/>
    <cellStyle name="Percent 4 3 2 3" xfId="25964"/>
    <cellStyle name="Percent 4 3 2_Forecast" xfId="25965"/>
    <cellStyle name="Percent 4 3 20" xfId="6550"/>
    <cellStyle name="Percent 4 3 21" xfId="6551"/>
    <cellStyle name="Percent 4 3 22" xfId="6552"/>
    <cellStyle name="Percent 4 3 23" xfId="6553"/>
    <cellStyle name="Percent 4 3 24" xfId="6554"/>
    <cellStyle name="Percent 4 3 25" xfId="6555"/>
    <cellStyle name="Percent 4 3 26" xfId="6556"/>
    <cellStyle name="Percent 4 3 27" xfId="6557"/>
    <cellStyle name="Percent 4 3 28" xfId="6558"/>
    <cellStyle name="Percent 4 3 29" xfId="6559"/>
    <cellStyle name="Percent 4 3 3" xfId="6560"/>
    <cellStyle name="Percent 4 3 3 2" xfId="6561"/>
    <cellStyle name="Percent 4 3 3 3" xfId="25966"/>
    <cellStyle name="Percent 4 3 3_Forecast" xfId="25967"/>
    <cellStyle name="Percent 4 3 30" xfId="20676"/>
    <cellStyle name="Percent 4 3 4" xfId="6562"/>
    <cellStyle name="Percent 4 3 4 2" xfId="6563"/>
    <cellStyle name="Percent 4 3 4 3" xfId="25968"/>
    <cellStyle name="Percent 4 3 4_Forecast" xfId="25969"/>
    <cellStyle name="Percent 4 3 5" xfId="6564"/>
    <cellStyle name="Percent 4 3 5 2" xfId="6565"/>
    <cellStyle name="Percent 4 3 5 3" xfId="25970"/>
    <cellStyle name="Percent 4 3 5_Forecast" xfId="25971"/>
    <cellStyle name="Percent 4 3 6" xfId="6566"/>
    <cellStyle name="Percent 4 3 6 2" xfId="6567"/>
    <cellStyle name="Percent 4 3 6 3" xfId="25972"/>
    <cellStyle name="Percent 4 3 6_Forecast" xfId="25973"/>
    <cellStyle name="Percent 4 3 7" xfId="6568"/>
    <cellStyle name="Percent 4 3 7 2" xfId="6569"/>
    <cellStyle name="Percent 4 3 7 3" xfId="25974"/>
    <cellStyle name="Percent 4 3 7_Forecast" xfId="25975"/>
    <cellStyle name="Percent 4 3 8" xfId="6570"/>
    <cellStyle name="Percent 4 3 8 2" xfId="25976"/>
    <cellStyle name="Percent 4 3 8_Forecast" xfId="25977"/>
    <cellStyle name="Percent 4 3 9" xfId="6571"/>
    <cellStyle name="Percent 4 3 9 2" xfId="25978"/>
    <cellStyle name="Percent 4 3 9_Forecast" xfId="25979"/>
    <cellStyle name="Percent 4 3_Forecast" xfId="25980"/>
    <cellStyle name="Percent 4 30" xfId="6572"/>
    <cellStyle name="Percent 4 31" xfId="6573"/>
    <cellStyle name="Percent 4 32" xfId="6574"/>
    <cellStyle name="Percent 4 33" xfId="20674"/>
    <cellStyle name="Percent 4 4" xfId="6575"/>
    <cellStyle name="Percent 4 4 10" xfId="6576"/>
    <cellStyle name="Percent 4 4 10 2" xfId="25981"/>
    <cellStyle name="Percent 4 4 10_Forecast" xfId="25982"/>
    <cellStyle name="Percent 4 4 11" xfId="6577"/>
    <cellStyle name="Percent 4 4 12" xfId="6578"/>
    <cellStyle name="Percent 4 4 13" xfId="6579"/>
    <cellStyle name="Percent 4 4 14" xfId="6580"/>
    <cellStyle name="Percent 4 4 15" xfId="6581"/>
    <cellStyle name="Percent 4 4 16" xfId="6582"/>
    <cellStyle name="Percent 4 4 17" xfId="6583"/>
    <cellStyle name="Percent 4 4 18" xfId="6584"/>
    <cellStyle name="Percent 4 4 19" xfId="6585"/>
    <cellStyle name="Percent 4 4 2" xfId="6586"/>
    <cellStyle name="Percent 4 4 2 2" xfId="6587"/>
    <cellStyle name="Percent 4 4 2 3" xfId="25983"/>
    <cellStyle name="Percent 4 4 2_Forecast" xfId="25984"/>
    <cellStyle name="Percent 4 4 20" xfId="6588"/>
    <cellStyle name="Percent 4 4 21" xfId="6589"/>
    <cellStyle name="Percent 4 4 22" xfId="6590"/>
    <cellStyle name="Percent 4 4 23" xfId="6591"/>
    <cellStyle name="Percent 4 4 24" xfId="6592"/>
    <cellStyle name="Percent 4 4 25" xfId="6593"/>
    <cellStyle name="Percent 4 4 26" xfId="6594"/>
    <cellStyle name="Percent 4 4 27" xfId="6595"/>
    <cellStyle name="Percent 4 4 28" xfId="6596"/>
    <cellStyle name="Percent 4 4 29" xfId="6597"/>
    <cellStyle name="Percent 4 4 3" xfId="6598"/>
    <cellStyle name="Percent 4 4 3 2" xfId="6599"/>
    <cellStyle name="Percent 4 4 3 3" xfId="25985"/>
    <cellStyle name="Percent 4 4 3_Forecast" xfId="25986"/>
    <cellStyle name="Percent 4 4 30" xfId="20677"/>
    <cellStyle name="Percent 4 4 4" xfId="6600"/>
    <cellStyle name="Percent 4 4 4 2" xfId="6601"/>
    <cellStyle name="Percent 4 4 4 3" xfId="25987"/>
    <cellStyle name="Percent 4 4 4_Forecast" xfId="25988"/>
    <cellStyle name="Percent 4 4 5" xfId="6602"/>
    <cellStyle name="Percent 4 4 5 2" xfId="6603"/>
    <cellStyle name="Percent 4 4 5 3" xfId="25989"/>
    <cellStyle name="Percent 4 4 5_Forecast" xfId="25990"/>
    <cellStyle name="Percent 4 4 6" xfId="6604"/>
    <cellStyle name="Percent 4 4 6 2" xfId="6605"/>
    <cellStyle name="Percent 4 4 6 3" xfId="25991"/>
    <cellStyle name="Percent 4 4 6_Forecast" xfId="25992"/>
    <cellStyle name="Percent 4 4 7" xfId="6606"/>
    <cellStyle name="Percent 4 4 7 2" xfId="6607"/>
    <cellStyle name="Percent 4 4 7 3" xfId="25993"/>
    <cellStyle name="Percent 4 4 7_Forecast" xfId="25994"/>
    <cellStyle name="Percent 4 4 8" xfId="6608"/>
    <cellStyle name="Percent 4 4 8 2" xfId="25995"/>
    <cellStyle name="Percent 4 4 8_Forecast" xfId="25996"/>
    <cellStyle name="Percent 4 4 9" xfId="6609"/>
    <cellStyle name="Percent 4 4 9 2" xfId="25997"/>
    <cellStyle name="Percent 4 4 9_Forecast" xfId="25998"/>
    <cellStyle name="Percent 4 4_Forecast" xfId="25999"/>
    <cellStyle name="Percent 4 5" xfId="6610"/>
    <cellStyle name="Percent 4 5 2" xfId="6611"/>
    <cellStyle name="Percent 4 5 3" xfId="20678"/>
    <cellStyle name="Percent 4 5_Forecast" xfId="26000"/>
    <cellStyle name="Percent 4 6" xfId="6612"/>
    <cellStyle name="Percent 4 6 2" xfId="6613"/>
    <cellStyle name="Percent 4 6 3" xfId="20679"/>
    <cellStyle name="Percent 4 6_Forecast" xfId="26001"/>
    <cellStyle name="Percent 4 7" xfId="6614"/>
    <cellStyle name="Percent 4 7 2" xfId="6615"/>
    <cellStyle name="Percent 4 7 3" xfId="20680"/>
    <cellStyle name="Percent 4 7_Forecast" xfId="26002"/>
    <cellStyle name="Percent 4 8" xfId="6616"/>
    <cellStyle name="Percent 4 8 2" xfId="6617"/>
    <cellStyle name="Percent 4 8 3" xfId="20681"/>
    <cellStyle name="Percent 4 8_Forecast" xfId="26003"/>
    <cellStyle name="Percent 4 9" xfId="6618"/>
    <cellStyle name="Percent 4 9 2" xfId="6619"/>
    <cellStyle name="Percent 4 9 3" xfId="26004"/>
    <cellStyle name="Percent 4 9_Forecast" xfId="26005"/>
    <cellStyle name="Percent 4_Forecast" xfId="26006"/>
    <cellStyle name="Percent 5" xfId="6620"/>
    <cellStyle name="Percent 5 10" xfId="6621"/>
    <cellStyle name="Percent 5 10 2" xfId="6622"/>
    <cellStyle name="Percent 5 10 3" xfId="26007"/>
    <cellStyle name="Percent 5 10_Forecast" xfId="26008"/>
    <cellStyle name="Percent 5 11" xfId="6623"/>
    <cellStyle name="Percent 5 11 2" xfId="26009"/>
    <cellStyle name="Percent 5 11_Forecast" xfId="26010"/>
    <cellStyle name="Percent 5 12" xfId="6624"/>
    <cellStyle name="Percent 5 12 2" xfId="26011"/>
    <cellStyle name="Percent 5 12_Forecast" xfId="26012"/>
    <cellStyle name="Percent 5 13" xfId="6625"/>
    <cellStyle name="Percent 5 13 2" xfId="26013"/>
    <cellStyle name="Percent 5 13_Forecast" xfId="26014"/>
    <cellStyle name="Percent 5 14" xfId="6626"/>
    <cellStyle name="Percent 5 15" xfId="6627"/>
    <cellStyle name="Percent 5 16" xfId="6628"/>
    <cellStyle name="Percent 5 17" xfId="6629"/>
    <cellStyle name="Percent 5 18" xfId="6630"/>
    <cellStyle name="Percent 5 19" xfId="6631"/>
    <cellStyle name="Percent 5 2" xfId="6632"/>
    <cellStyle name="Percent 5 2 10" xfId="6633"/>
    <cellStyle name="Percent 5 2 10 2" xfId="26015"/>
    <cellStyle name="Percent 5 2 10_Forecast" xfId="26016"/>
    <cellStyle name="Percent 5 2 11" xfId="6634"/>
    <cellStyle name="Percent 5 2 12" xfId="6635"/>
    <cellStyle name="Percent 5 2 13" xfId="6636"/>
    <cellStyle name="Percent 5 2 14" xfId="6637"/>
    <cellStyle name="Percent 5 2 15" xfId="6638"/>
    <cellStyle name="Percent 5 2 16" xfId="6639"/>
    <cellStyle name="Percent 5 2 17" xfId="6640"/>
    <cellStyle name="Percent 5 2 18" xfId="6641"/>
    <cellStyle name="Percent 5 2 19" xfId="6642"/>
    <cellStyle name="Percent 5 2 2" xfId="6643"/>
    <cellStyle name="Percent 5 2 2 2" xfId="6644"/>
    <cellStyle name="Percent 5 2 2 3" xfId="26017"/>
    <cellStyle name="Percent 5 2 2_Forecast" xfId="26018"/>
    <cellStyle name="Percent 5 2 20" xfId="6645"/>
    <cellStyle name="Percent 5 2 21" xfId="6646"/>
    <cellStyle name="Percent 5 2 22" xfId="6647"/>
    <cellStyle name="Percent 5 2 23" xfId="6648"/>
    <cellStyle name="Percent 5 2 24" xfId="6649"/>
    <cellStyle name="Percent 5 2 25" xfId="6650"/>
    <cellStyle name="Percent 5 2 26" xfId="6651"/>
    <cellStyle name="Percent 5 2 27" xfId="6652"/>
    <cellStyle name="Percent 5 2 28" xfId="6653"/>
    <cellStyle name="Percent 5 2 29" xfId="6654"/>
    <cellStyle name="Percent 5 2 3" xfId="6655"/>
    <cellStyle name="Percent 5 2 3 2" xfId="6656"/>
    <cellStyle name="Percent 5 2 3 3" xfId="26019"/>
    <cellStyle name="Percent 5 2 3_Forecast" xfId="26020"/>
    <cellStyle name="Percent 5 2 30" xfId="20683"/>
    <cellStyle name="Percent 5 2 4" xfId="6657"/>
    <cellStyle name="Percent 5 2 4 2" xfId="6658"/>
    <cellStyle name="Percent 5 2 4 3" xfId="26021"/>
    <cellStyle name="Percent 5 2 4_Forecast" xfId="26022"/>
    <cellStyle name="Percent 5 2 5" xfId="6659"/>
    <cellStyle name="Percent 5 2 5 2" xfId="6660"/>
    <cellStyle name="Percent 5 2 5 3" xfId="26023"/>
    <cellStyle name="Percent 5 2 5_Forecast" xfId="26024"/>
    <cellStyle name="Percent 5 2 6" xfId="6661"/>
    <cellStyle name="Percent 5 2 6 2" xfId="6662"/>
    <cellStyle name="Percent 5 2 6 3" xfId="26025"/>
    <cellStyle name="Percent 5 2 6_Forecast" xfId="26026"/>
    <cellStyle name="Percent 5 2 7" xfId="6663"/>
    <cellStyle name="Percent 5 2 7 2" xfId="6664"/>
    <cellStyle name="Percent 5 2 7 3" xfId="26027"/>
    <cellStyle name="Percent 5 2 7_Forecast" xfId="26028"/>
    <cellStyle name="Percent 5 2 8" xfId="6665"/>
    <cellStyle name="Percent 5 2 8 2" xfId="26029"/>
    <cellStyle name="Percent 5 2 8_Forecast" xfId="26030"/>
    <cellStyle name="Percent 5 2 9" xfId="6666"/>
    <cellStyle name="Percent 5 2 9 2" xfId="26031"/>
    <cellStyle name="Percent 5 2 9_Forecast" xfId="26032"/>
    <cellStyle name="Percent 5 2_Forecast" xfId="26033"/>
    <cellStyle name="Percent 5 20" xfId="6667"/>
    <cellStyle name="Percent 5 21" xfId="6668"/>
    <cellStyle name="Percent 5 22" xfId="6669"/>
    <cellStyle name="Percent 5 23" xfId="6670"/>
    <cellStyle name="Percent 5 24" xfId="6671"/>
    <cellStyle name="Percent 5 25" xfId="6672"/>
    <cellStyle name="Percent 5 26" xfId="6673"/>
    <cellStyle name="Percent 5 27" xfId="6674"/>
    <cellStyle name="Percent 5 28" xfId="6675"/>
    <cellStyle name="Percent 5 29" xfId="6676"/>
    <cellStyle name="Percent 5 3" xfId="6677"/>
    <cellStyle name="Percent 5 3 10" xfId="6678"/>
    <cellStyle name="Percent 5 3 10 2" xfId="26034"/>
    <cellStyle name="Percent 5 3 10_Forecast" xfId="26035"/>
    <cellStyle name="Percent 5 3 11" xfId="6679"/>
    <cellStyle name="Percent 5 3 12" xfId="6680"/>
    <cellStyle name="Percent 5 3 13" xfId="6681"/>
    <cellStyle name="Percent 5 3 14" xfId="6682"/>
    <cellStyle name="Percent 5 3 15" xfId="6683"/>
    <cellStyle name="Percent 5 3 16" xfId="6684"/>
    <cellStyle name="Percent 5 3 17" xfId="6685"/>
    <cellStyle name="Percent 5 3 18" xfId="6686"/>
    <cellStyle name="Percent 5 3 19" xfId="6687"/>
    <cellStyle name="Percent 5 3 2" xfId="6688"/>
    <cellStyle name="Percent 5 3 2 2" xfId="6689"/>
    <cellStyle name="Percent 5 3 2 3" xfId="26036"/>
    <cellStyle name="Percent 5 3 2_Forecast" xfId="26037"/>
    <cellStyle name="Percent 5 3 20" xfId="6690"/>
    <cellStyle name="Percent 5 3 21" xfId="6691"/>
    <cellStyle name="Percent 5 3 22" xfId="6692"/>
    <cellStyle name="Percent 5 3 23" xfId="6693"/>
    <cellStyle name="Percent 5 3 24" xfId="6694"/>
    <cellStyle name="Percent 5 3 25" xfId="6695"/>
    <cellStyle name="Percent 5 3 26" xfId="6696"/>
    <cellStyle name="Percent 5 3 27" xfId="6697"/>
    <cellStyle name="Percent 5 3 28" xfId="6698"/>
    <cellStyle name="Percent 5 3 29" xfId="6699"/>
    <cellStyle name="Percent 5 3 3" xfId="6700"/>
    <cellStyle name="Percent 5 3 3 2" xfId="6701"/>
    <cellStyle name="Percent 5 3 3 3" xfId="26038"/>
    <cellStyle name="Percent 5 3 3_Forecast" xfId="26039"/>
    <cellStyle name="Percent 5 3 30" xfId="20684"/>
    <cellStyle name="Percent 5 3 4" xfId="6702"/>
    <cellStyle name="Percent 5 3 4 2" xfId="6703"/>
    <cellStyle name="Percent 5 3 4 3" xfId="26040"/>
    <cellStyle name="Percent 5 3 4_Forecast" xfId="26041"/>
    <cellStyle name="Percent 5 3 5" xfId="6704"/>
    <cellStyle name="Percent 5 3 5 2" xfId="6705"/>
    <cellStyle name="Percent 5 3 5 3" xfId="26042"/>
    <cellStyle name="Percent 5 3 5_Forecast" xfId="26043"/>
    <cellStyle name="Percent 5 3 6" xfId="6706"/>
    <cellStyle name="Percent 5 3 6 2" xfId="6707"/>
    <cellStyle name="Percent 5 3 6 3" xfId="26044"/>
    <cellStyle name="Percent 5 3 6_Forecast" xfId="26045"/>
    <cellStyle name="Percent 5 3 7" xfId="6708"/>
    <cellStyle name="Percent 5 3 7 2" xfId="6709"/>
    <cellStyle name="Percent 5 3 7 3" xfId="26046"/>
    <cellStyle name="Percent 5 3 7_Forecast" xfId="26047"/>
    <cellStyle name="Percent 5 3 8" xfId="6710"/>
    <cellStyle name="Percent 5 3 8 2" xfId="26048"/>
    <cellStyle name="Percent 5 3 8_Forecast" xfId="26049"/>
    <cellStyle name="Percent 5 3 9" xfId="6711"/>
    <cellStyle name="Percent 5 3 9 2" xfId="26050"/>
    <cellStyle name="Percent 5 3 9_Forecast" xfId="26051"/>
    <cellStyle name="Percent 5 3_Forecast" xfId="26052"/>
    <cellStyle name="Percent 5 30" xfId="6712"/>
    <cellStyle name="Percent 5 31" xfId="6713"/>
    <cellStyle name="Percent 5 32" xfId="6714"/>
    <cellStyle name="Percent 5 33" xfId="20682"/>
    <cellStyle name="Percent 5 4" xfId="6715"/>
    <cellStyle name="Percent 5 4 10" xfId="6716"/>
    <cellStyle name="Percent 5 4 10 2" xfId="26053"/>
    <cellStyle name="Percent 5 4 10_Forecast" xfId="26054"/>
    <cellStyle name="Percent 5 4 11" xfId="6717"/>
    <cellStyle name="Percent 5 4 12" xfId="6718"/>
    <cellStyle name="Percent 5 4 13" xfId="6719"/>
    <cellStyle name="Percent 5 4 14" xfId="6720"/>
    <cellStyle name="Percent 5 4 15" xfId="6721"/>
    <cellStyle name="Percent 5 4 16" xfId="6722"/>
    <cellStyle name="Percent 5 4 17" xfId="6723"/>
    <cellStyle name="Percent 5 4 18" xfId="6724"/>
    <cellStyle name="Percent 5 4 19" xfId="6725"/>
    <cellStyle name="Percent 5 4 2" xfId="6726"/>
    <cellStyle name="Percent 5 4 2 2" xfId="6727"/>
    <cellStyle name="Percent 5 4 2 3" xfId="26055"/>
    <cellStyle name="Percent 5 4 2_Forecast" xfId="26056"/>
    <cellStyle name="Percent 5 4 20" xfId="6728"/>
    <cellStyle name="Percent 5 4 21" xfId="6729"/>
    <cellStyle name="Percent 5 4 22" xfId="6730"/>
    <cellStyle name="Percent 5 4 23" xfId="6731"/>
    <cellStyle name="Percent 5 4 24" xfId="6732"/>
    <cellStyle name="Percent 5 4 25" xfId="6733"/>
    <cellStyle name="Percent 5 4 26" xfId="6734"/>
    <cellStyle name="Percent 5 4 27" xfId="6735"/>
    <cellStyle name="Percent 5 4 28" xfId="6736"/>
    <cellStyle name="Percent 5 4 29" xfId="6737"/>
    <cellStyle name="Percent 5 4 3" xfId="6738"/>
    <cellStyle name="Percent 5 4 3 2" xfId="6739"/>
    <cellStyle name="Percent 5 4 3 3" xfId="26057"/>
    <cellStyle name="Percent 5 4 3_Forecast" xfId="26058"/>
    <cellStyle name="Percent 5 4 30" xfId="20685"/>
    <cellStyle name="Percent 5 4 4" xfId="6740"/>
    <cellStyle name="Percent 5 4 4 2" xfId="6741"/>
    <cellStyle name="Percent 5 4 4 3" xfId="26059"/>
    <cellStyle name="Percent 5 4 4_Forecast" xfId="26060"/>
    <cellStyle name="Percent 5 4 5" xfId="6742"/>
    <cellStyle name="Percent 5 4 5 2" xfId="6743"/>
    <cellStyle name="Percent 5 4 5 3" xfId="26061"/>
    <cellStyle name="Percent 5 4 5_Forecast" xfId="26062"/>
    <cellStyle name="Percent 5 4 6" xfId="6744"/>
    <cellStyle name="Percent 5 4 6 2" xfId="6745"/>
    <cellStyle name="Percent 5 4 6 3" xfId="26063"/>
    <cellStyle name="Percent 5 4 6_Forecast" xfId="26064"/>
    <cellStyle name="Percent 5 4 7" xfId="6746"/>
    <cellStyle name="Percent 5 4 7 2" xfId="6747"/>
    <cellStyle name="Percent 5 4 7 3" xfId="26065"/>
    <cellStyle name="Percent 5 4 7_Forecast" xfId="26066"/>
    <cellStyle name="Percent 5 4 8" xfId="6748"/>
    <cellStyle name="Percent 5 4 8 2" xfId="26067"/>
    <cellStyle name="Percent 5 4 8_Forecast" xfId="26068"/>
    <cellStyle name="Percent 5 4 9" xfId="6749"/>
    <cellStyle name="Percent 5 4 9 2" xfId="26069"/>
    <cellStyle name="Percent 5 4 9_Forecast" xfId="26070"/>
    <cellStyle name="Percent 5 4_Forecast" xfId="26071"/>
    <cellStyle name="Percent 5 5" xfId="6750"/>
    <cellStyle name="Percent 5 5 2" xfId="6751"/>
    <cellStyle name="Percent 5 5 3" xfId="20686"/>
    <cellStyle name="Percent 5 5_Forecast" xfId="26072"/>
    <cellStyle name="Percent 5 6" xfId="6752"/>
    <cellStyle name="Percent 5 6 2" xfId="6753"/>
    <cellStyle name="Percent 5 6 3" xfId="20687"/>
    <cellStyle name="Percent 5 6_Forecast" xfId="26073"/>
    <cellStyle name="Percent 5 7" xfId="6754"/>
    <cellStyle name="Percent 5 7 2" xfId="6755"/>
    <cellStyle name="Percent 5 7 3" xfId="20688"/>
    <cellStyle name="Percent 5 7_Forecast" xfId="26074"/>
    <cellStyle name="Percent 5 8" xfId="6756"/>
    <cellStyle name="Percent 5 8 2" xfId="6757"/>
    <cellStyle name="Percent 5 8 3" xfId="20689"/>
    <cellStyle name="Percent 5 8_Forecast" xfId="26075"/>
    <cellStyle name="Percent 5 9" xfId="6758"/>
    <cellStyle name="Percent 5 9 2" xfId="6759"/>
    <cellStyle name="Percent 5 9 3" xfId="26076"/>
    <cellStyle name="Percent 5 9_Forecast" xfId="26077"/>
    <cellStyle name="Percent 5_Forecast" xfId="26078"/>
    <cellStyle name="Percent 6" xfId="6760"/>
    <cellStyle name="Percent 6 10" xfId="6761"/>
    <cellStyle name="Percent 6 10 2" xfId="6762"/>
    <cellStyle name="Percent 6 10 3" xfId="26079"/>
    <cellStyle name="Percent 6 10_Forecast" xfId="26080"/>
    <cellStyle name="Percent 6 11" xfId="6763"/>
    <cellStyle name="Percent 6 11 2" xfId="26081"/>
    <cellStyle name="Percent 6 11_Forecast" xfId="26082"/>
    <cellStyle name="Percent 6 12" xfId="6764"/>
    <cellStyle name="Percent 6 12 2" xfId="26083"/>
    <cellStyle name="Percent 6 12_Forecast" xfId="26084"/>
    <cellStyle name="Percent 6 13" xfId="6765"/>
    <cellStyle name="Percent 6 13 2" xfId="26085"/>
    <cellStyle name="Percent 6 13_Forecast" xfId="26086"/>
    <cellStyle name="Percent 6 14" xfId="6766"/>
    <cellStyle name="Percent 6 15" xfId="6767"/>
    <cellStyle name="Percent 6 16" xfId="6768"/>
    <cellStyle name="Percent 6 17" xfId="6769"/>
    <cellStyle name="Percent 6 18" xfId="6770"/>
    <cellStyle name="Percent 6 19" xfId="6771"/>
    <cellStyle name="Percent 6 2" xfId="6772"/>
    <cellStyle name="Percent 6 2 10" xfId="6773"/>
    <cellStyle name="Percent 6 2 10 2" xfId="26087"/>
    <cellStyle name="Percent 6 2 10_Forecast" xfId="26088"/>
    <cellStyle name="Percent 6 2 11" xfId="6774"/>
    <cellStyle name="Percent 6 2 12" xfId="6775"/>
    <cellStyle name="Percent 6 2 13" xfId="6776"/>
    <cellStyle name="Percent 6 2 14" xfId="6777"/>
    <cellStyle name="Percent 6 2 15" xfId="6778"/>
    <cellStyle name="Percent 6 2 16" xfId="6779"/>
    <cellStyle name="Percent 6 2 17" xfId="6780"/>
    <cellStyle name="Percent 6 2 18" xfId="6781"/>
    <cellStyle name="Percent 6 2 19" xfId="6782"/>
    <cellStyle name="Percent 6 2 2" xfId="6783"/>
    <cellStyle name="Percent 6 2 2 2" xfId="6784"/>
    <cellStyle name="Percent 6 2 2 3" xfId="26089"/>
    <cellStyle name="Percent 6 2 2_Forecast" xfId="26090"/>
    <cellStyle name="Percent 6 2 20" xfId="6785"/>
    <cellStyle name="Percent 6 2 21" xfId="6786"/>
    <cellStyle name="Percent 6 2 22" xfId="6787"/>
    <cellStyle name="Percent 6 2 23" xfId="6788"/>
    <cellStyle name="Percent 6 2 24" xfId="6789"/>
    <cellStyle name="Percent 6 2 25" xfId="6790"/>
    <cellStyle name="Percent 6 2 26" xfId="6791"/>
    <cellStyle name="Percent 6 2 27" xfId="6792"/>
    <cellStyle name="Percent 6 2 28" xfId="6793"/>
    <cellStyle name="Percent 6 2 29" xfId="6794"/>
    <cellStyle name="Percent 6 2 3" xfId="6795"/>
    <cellStyle name="Percent 6 2 3 2" xfId="6796"/>
    <cellStyle name="Percent 6 2 3 3" xfId="26091"/>
    <cellStyle name="Percent 6 2 3_Forecast" xfId="26092"/>
    <cellStyle name="Percent 6 2 30" xfId="26093"/>
    <cellStyle name="Percent 6 2 4" xfId="6797"/>
    <cellStyle name="Percent 6 2 4 2" xfId="6798"/>
    <cellStyle name="Percent 6 2 4 3" xfId="26094"/>
    <cellStyle name="Percent 6 2 4_Forecast" xfId="26095"/>
    <cellStyle name="Percent 6 2 5" xfId="6799"/>
    <cellStyle name="Percent 6 2 5 2" xfId="6800"/>
    <cellStyle name="Percent 6 2 5 3" xfId="26096"/>
    <cellStyle name="Percent 6 2 5_Forecast" xfId="26097"/>
    <cellStyle name="Percent 6 2 6" xfId="6801"/>
    <cellStyle name="Percent 6 2 6 2" xfId="6802"/>
    <cellStyle name="Percent 6 2 6 3" xfId="26098"/>
    <cellStyle name="Percent 6 2 6_Forecast" xfId="26099"/>
    <cellStyle name="Percent 6 2 7" xfId="6803"/>
    <cellStyle name="Percent 6 2 7 2" xfId="6804"/>
    <cellStyle name="Percent 6 2 7 3" xfId="26100"/>
    <cellStyle name="Percent 6 2 7_Forecast" xfId="26101"/>
    <cellStyle name="Percent 6 2 8" xfId="6805"/>
    <cellStyle name="Percent 6 2 8 2" xfId="26102"/>
    <cellStyle name="Percent 6 2 8_Forecast" xfId="26103"/>
    <cellStyle name="Percent 6 2 9" xfId="6806"/>
    <cellStyle name="Percent 6 2 9 2" xfId="26104"/>
    <cellStyle name="Percent 6 2 9_Forecast" xfId="26105"/>
    <cellStyle name="Percent 6 2_Forecast" xfId="26106"/>
    <cellStyle name="Percent 6 20" xfId="6807"/>
    <cellStyle name="Percent 6 21" xfId="6808"/>
    <cellStyle name="Percent 6 22" xfId="6809"/>
    <cellStyle name="Percent 6 23" xfId="6810"/>
    <cellStyle name="Percent 6 24" xfId="6811"/>
    <cellStyle name="Percent 6 25" xfId="6812"/>
    <cellStyle name="Percent 6 26" xfId="6813"/>
    <cellStyle name="Percent 6 27" xfId="6814"/>
    <cellStyle name="Percent 6 28" xfId="6815"/>
    <cellStyle name="Percent 6 29" xfId="6816"/>
    <cellStyle name="Percent 6 3" xfId="6817"/>
    <cellStyle name="Percent 6 3 10" xfId="6818"/>
    <cellStyle name="Percent 6 3 10 2" xfId="26107"/>
    <cellStyle name="Percent 6 3 10_Forecast" xfId="26108"/>
    <cellStyle name="Percent 6 3 11" xfId="6819"/>
    <cellStyle name="Percent 6 3 12" xfId="6820"/>
    <cellStyle name="Percent 6 3 13" xfId="6821"/>
    <cellStyle name="Percent 6 3 14" xfId="6822"/>
    <cellStyle name="Percent 6 3 15" xfId="6823"/>
    <cellStyle name="Percent 6 3 16" xfId="6824"/>
    <cellStyle name="Percent 6 3 17" xfId="6825"/>
    <cellStyle name="Percent 6 3 18" xfId="6826"/>
    <cellStyle name="Percent 6 3 19" xfId="6827"/>
    <cellStyle name="Percent 6 3 2" xfId="6828"/>
    <cellStyle name="Percent 6 3 2 2" xfId="6829"/>
    <cellStyle name="Percent 6 3 2 3" xfId="26109"/>
    <cellStyle name="Percent 6 3 2_Forecast" xfId="26110"/>
    <cellStyle name="Percent 6 3 20" xfId="6830"/>
    <cellStyle name="Percent 6 3 21" xfId="6831"/>
    <cellStyle name="Percent 6 3 22" xfId="6832"/>
    <cellStyle name="Percent 6 3 23" xfId="6833"/>
    <cellStyle name="Percent 6 3 24" xfId="6834"/>
    <cellStyle name="Percent 6 3 25" xfId="6835"/>
    <cellStyle name="Percent 6 3 26" xfId="6836"/>
    <cellStyle name="Percent 6 3 27" xfId="6837"/>
    <cellStyle name="Percent 6 3 28" xfId="6838"/>
    <cellStyle name="Percent 6 3 29" xfId="6839"/>
    <cellStyle name="Percent 6 3 3" xfId="6840"/>
    <cellStyle name="Percent 6 3 3 2" xfId="6841"/>
    <cellStyle name="Percent 6 3 3 3" xfId="26111"/>
    <cellStyle name="Percent 6 3 3_Forecast" xfId="26112"/>
    <cellStyle name="Percent 6 3 30" xfId="26113"/>
    <cellStyle name="Percent 6 3 4" xfId="6842"/>
    <cellStyle name="Percent 6 3 4 2" xfId="6843"/>
    <cellStyle name="Percent 6 3 4 3" xfId="26114"/>
    <cellStyle name="Percent 6 3 4_Forecast" xfId="26115"/>
    <cellStyle name="Percent 6 3 5" xfId="6844"/>
    <cellStyle name="Percent 6 3 5 2" xfId="6845"/>
    <cellStyle name="Percent 6 3 5 3" xfId="26116"/>
    <cellStyle name="Percent 6 3 5_Forecast" xfId="26117"/>
    <cellStyle name="Percent 6 3 6" xfId="6846"/>
    <cellStyle name="Percent 6 3 6 2" xfId="6847"/>
    <cellStyle name="Percent 6 3 6 3" xfId="26118"/>
    <cellStyle name="Percent 6 3 6_Forecast" xfId="26119"/>
    <cellStyle name="Percent 6 3 7" xfId="6848"/>
    <cellStyle name="Percent 6 3 7 2" xfId="6849"/>
    <cellStyle name="Percent 6 3 7 3" xfId="26120"/>
    <cellStyle name="Percent 6 3 7_Forecast" xfId="26121"/>
    <cellStyle name="Percent 6 3 8" xfId="6850"/>
    <cellStyle name="Percent 6 3 8 2" xfId="26122"/>
    <cellStyle name="Percent 6 3 8_Forecast" xfId="26123"/>
    <cellStyle name="Percent 6 3 9" xfId="6851"/>
    <cellStyle name="Percent 6 3 9 2" xfId="26124"/>
    <cellStyle name="Percent 6 3 9_Forecast" xfId="26125"/>
    <cellStyle name="Percent 6 3_Forecast" xfId="26126"/>
    <cellStyle name="Percent 6 30" xfId="6852"/>
    <cellStyle name="Percent 6 31" xfId="6853"/>
    <cellStyle name="Percent 6 32" xfId="6854"/>
    <cellStyle name="Percent 6 33" xfId="20690"/>
    <cellStyle name="Percent 6 4" xfId="6855"/>
    <cellStyle name="Percent 6 4 10" xfId="6856"/>
    <cellStyle name="Percent 6 4 10 2" xfId="26127"/>
    <cellStyle name="Percent 6 4 10_Forecast" xfId="26128"/>
    <cellStyle name="Percent 6 4 11" xfId="6857"/>
    <cellStyle name="Percent 6 4 12" xfId="6858"/>
    <cellStyle name="Percent 6 4 13" xfId="6859"/>
    <cellStyle name="Percent 6 4 14" xfId="6860"/>
    <cellStyle name="Percent 6 4 15" xfId="6861"/>
    <cellStyle name="Percent 6 4 16" xfId="6862"/>
    <cellStyle name="Percent 6 4 17" xfId="6863"/>
    <cellStyle name="Percent 6 4 18" xfId="6864"/>
    <cellStyle name="Percent 6 4 19" xfId="6865"/>
    <cellStyle name="Percent 6 4 2" xfId="6866"/>
    <cellStyle name="Percent 6 4 2 2" xfId="6867"/>
    <cellStyle name="Percent 6 4 2 3" xfId="26129"/>
    <cellStyle name="Percent 6 4 2_Forecast" xfId="26130"/>
    <cellStyle name="Percent 6 4 20" xfId="6868"/>
    <cellStyle name="Percent 6 4 21" xfId="6869"/>
    <cellStyle name="Percent 6 4 22" xfId="6870"/>
    <cellStyle name="Percent 6 4 23" xfId="6871"/>
    <cellStyle name="Percent 6 4 24" xfId="6872"/>
    <cellStyle name="Percent 6 4 25" xfId="6873"/>
    <cellStyle name="Percent 6 4 26" xfId="6874"/>
    <cellStyle name="Percent 6 4 27" xfId="6875"/>
    <cellStyle name="Percent 6 4 28" xfId="6876"/>
    <cellStyle name="Percent 6 4 29" xfId="6877"/>
    <cellStyle name="Percent 6 4 3" xfId="6878"/>
    <cellStyle name="Percent 6 4 3 2" xfId="6879"/>
    <cellStyle name="Percent 6 4 3 3" xfId="26131"/>
    <cellStyle name="Percent 6 4 3_Forecast" xfId="26132"/>
    <cellStyle name="Percent 6 4 30" xfId="26133"/>
    <cellStyle name="Percent 6 4 4" xfId="6880"/>
    <cellStyle name="Percent 6 4 4 2" xfId="6881"/>
    <cellStyle name="Percent 6 4 4 3" xfId="26134"/>
    <cellStyle name="Percent 6 4 4_Forecast" xfId="26135"/>
    <cellStyle name="Percent 6 4 5" xfId="6882"/>
    <cellStyle name="Percent 6 4 5 2" xfId="6883"/>
    <cellStyle name="Percent 6 4 5 3" xfId="26136"/>
    <cellStyle name="Percent 6 4 5_Forecast" xfId="26137"/>
    <cellStyle name="Percent 6 4 6" xfId="6884"/>
    <cellStyle name="Percent 6 4 6 2" xfId="6885"/>
    <cellStyle name="Percent 6 4 6 3" xfId="26138"/>
    <cellStyle name="Percent 6 4 6_Forecast" xfId="26139"/>
    <cellStyle name="Percent 6 4 7" xfId="6886"/>
    <cellStyle name="Percent 6 4 7 2" xfId="6887"/>
    <cellStyle name="Percent 6 4 7 3" xfId="26140"/>
    <cellStyle name="Percent 6 4 7_Forecast" xfId="26141"/>
    <cellStyle name="Percent 6 4 8" xfId="6888"/>
    <cellStyle name="Percent 6 4 8 2" xfId="26142"/>
    <cellStyle name="Percent 6 4 8_Forecast" xfId="26143"/>
    <cellStyle name="Percent 6 4 9" xfId="6889"/>
    <cellStyle name="Percent 6 4 9 2" xfId="26144"/>
    <cellStyle name="Percent 6 4 9_Forecast" xfId="26145"/>
    <cellStyle name="Percent 6 4_Forecast" xfId="26146"/>
    <cellStyle name="Percent 6 5" xfId="6890"/>
    <cellStyle name="Percent 6 5 2" xfId="6891"/>
    <cellStyle name="Percent 6 5 3" xfId="26147"/>
    <cellStyle name="Percent 6 5_Forecast" xfId="26148"/>
    <cellStyle name="Percent 6 6" xfId="6892"/>
    <cellStyle name="Percent 6 6 2" xfId="6893"/>
    <cellStyle name="Percent 6 6 3" xfId="26149"/>
    <cellStyle name="Percent 6 6_Forecast" xfId="26150"/>
    <cellStyle name="Percent 6 7" xfId="6894"/>
    <cellStyle name="Percent 6 7 2" xfId="6895"/>
    <cellStyle name="Percent 6 7 3" xfId="26151"/>
    <cellStyle name="Percent 6 7_Forecast" xfId="26152"/>
    <cellStyle name="Percent 6 8" xfId="6896"/>
    <cellStyle name="Percent 6 8 2" xfId="6897"/>
    <cellStyle name="Percent 6 8 3" xfId="26153"/>
    <cellStyle name="Percent 6 8_Forecast" xfId="26154"/>
    <cellStyle name="Percent 6 9" xfId="6898"/>
    <cellStyle name="Percent 6 9 2" xfId="6899"/>
    <cellStyle name="Percent 6 9 3" xfId="26155"/>
    <cellStyle name="Percent 6 9_Forecast" xfId="26156"/>
    <cellStyle name="Percent 6_Forecast" xfId="26157"/>
    <cellStyle name="Percent 7" xfId="6900"/>
    <cellStyle name="Percent 7 10" xfId="6901"/>
    <cellStyle name="Percent 7 10 2" xfId="6902"/>
    <cellStyle name="Percent 7 10 3" xfId="26158"/>
    <cellStyle name="Percent 7 10_Forecast" xfId="26159"/>
    <cellStyle name="Percent 7 11" xfId="6903"/>
    <cellStyle name="Percent 7 11 2" xfId="26160"/>
    <cellStyle name="Percent 7 11_Forecast" xfId="26161"/>
    <cellStyle name="Percent 7 12" xfId="6904"/>
    <cellStyle name="Percent 7 12 2" xfId="26162"/>
    <cellStyle name="Percent 7 12_Forecast" xfId="26163"/>
    <cellStyle name="Percent 7 13" xfId="6905"/>
    <cellStyle name="Percent 7 13 2" xfId="26164"/>
    <cellStyle name="Percent 7 13_Forecast" xfId="26165"/>
    <cellStyle name="Percent 7 14" xfId="6906"/>
    <cellStyle name="Percent 7 15" xfId="6907"/>
    <cellStyle name="Percent 7 16" xfId="6908"/>
    <cellStyle name="Percent 7 17" xfId="6909"/>
    <cellStyle name="Percent 7 18" xfId="6910"/>
    <cellStyle name="Percent 7 19" xfId="6911"/>
    <cellStyle name="Percent 7 2" xfId="6912"/>
    <cellStyle name="Percent 7 2 10" xfId="6913"/>
    <cellStyle name="Percent 7 2 10 2" xfId="26166"/>
    <cellStyle name="Percent 7 2 10_Forecast" xfId="26167"/>
    <cellStyle name="Percent 7 2 11" xfId="6914"/>
    <cellStyle name="Percent 7 2 12" xfId="6915"/>
    <cellStyle name="Percent 7 2 13" xfId="6916"/>
    <cellStyle name="Percent 7 2 14" xfId="6917"/>
    <cellStyle name="Percent 7 2 15" xfId="6918"/>
    <cellStyle name="Percent 7 2 16" xfId="6919"/>
    <cellStyle name="Percent 7 2 17" xfId="6920"/>
    <cellStyle name="Percent 7 2 18" xfId="6921"/>
    <cellStyle name="Percent 7 2 19" xfId="6922"/>
    <cellStyle name="Percent 7 2 2" xfId="6923"/>
    <cellStyle name="Percent 7 2 2 2" xfId="6924"/>
    <cellStyle name="Percent 7 2 2 3" xfId="26168"/>
    <cellStyle name="Percent 7 2 2_Forecast" xfId="26169"/>
    <cellStyle name="Percent 7 2 20" xfId="6925"/>
    <cellStyle name="Percent 7 2 21" xfId="6926"/>
    <cellStyle name="Percent 7 2 22" xfId="6927"/>
    <cellStyle name="Percent 7 2 23" xfId="6928"/>
    <cellStyle name="Percent 7 2 24" xfId="6929"/>
    <cellStyle name="Percent 7 2 25" xfId="6930"/>
    <cellStyle name="Percent 7 2 26" xfId="6931"/>
    <cellStyle name="Percent 7 2 27" xfId="6932"/>
    <cellStyle name="Percent 7 2 28" xfId="6933"/>
    <cellStyle name="Percent 7 2 29" xfId="6934"/>
    <cellStyle name="Percent 7 2 3" xfId="6935"/>
    <cellStyle name="Percent 7 2 3 2" xfId="6936"/>
    <cellStyle name="Percent 7 2 3 3" xfId="26170"/>
    <cellStyle name="Percent 7 2 3_Forecast" xfId="26171"/>
    <cellStyle name="Percent 7 2 30" xfId="26172"/>
    <cellStyle name="Percent 7 2 4" xfId="6937"/>
    <cellStyle name="Percent 7 2 4 2" xfId="6938"/>
    <cellStyle name="Percent 7 2 4 3" xfId="26173"/>
    <cellStyle name="Percent 7 2 4_Forecast" xfId="26174"/>
    <cellStyle name="Percent 7 2 5" xfId="6939"/>
    <cellStyle name="Percent 7 2 5 2" xfId="6940"/>
    <cellStyle name="Percent 7 2 5 3" xfId="26175"/>
    <cellStyle name="Percent 7 2 5_Forecast" xfId="26176"/>
    <cellStyle name="Percent 7 2 6" xfId="6941"/>
    <cellStyle name="Percent 7 2 6 2" xfId="6942"/>
    <cellStyle name="Percent 7 2 6 3" xfId="26177"/>
    <cellStyle name="Percent 7 2 6_Forecast" xfId="26178"/>
    <cellStyle name="Percent 7 2 7" xfId="6943"/>
    <cellStyle name="Percent 7 2 7 2" xfId="6944"/>
    <cellStyle name="Percent 7 2 7 3" xfId="26179"/>
    <cellStyle name="Percent 7 2 7_Forecast" xfId="26180"/>
    <cellStyle name="Percent 7 2 8" xfId="6945"/>
    <cellStyle name="Percent 7 2 8 2" xfId="26181"/>
    <cellStyle name="Percent 7 2 8_Forecast" xfId="26182"/>
    <cellStyle name="Percent 7 2 9" xfId="6946"/>
    <cellStyle name="Percent 7 2 9 2" xfId="26183"/>
    <cellStyle name="Percent 7 2 9_Forecast" xfId="26184"/>
    <cellStyle name="Percent 7 2_Forecast" xfId="26185"/>
    <cellStyle name="Percent 7 20" xfId="6947"/>
    <cellStyle name="Percent 7 21" xfId="6948"/>
    <cellStyle name="Percent 7 22" xfId="6949"/>
    <cellStyle name="Percent 7 23" xfId="6950"/>
    <cellStyle name="Percent 7 24" xfId="6951"/>
    <cellStyle name="Percent 7 25" xfId="6952"/>
    <cellStyle name="Percent 7 26" xfId="6953"/>
    <cellStyle name="Percent 7 27" xfId="6954"/>
    <cellStyle name="Percent 7 28" xfId="6955"/>
    <cellStyle name="Percent 7 29" xfId="6956"/>
    <cellStyle name="Percent 7 3" xfId="6957"/>
    <cellStyle name="Percent 7 3 10" xfId="6958"/>
    <cellStyle name="Percent 7 3 10 2" xfId="26186"/>
    <cellStyle name="Percent 7 3 10_Forecast" xfId="26187"/>
    <cellStyle name="Percent 7 3 11" xfId="6959"/>
    <cellStyle name="Percent 7 3 12" xfId="6960"/>
    <cellStyle name="Percent 7 3 13" xfId="6961"/>
    <cellStyle name="Percent 7 3 14" xfId="6962"/>
    <cellStyle name="Percent 7 3 15" xfId="6963"/>
    <cellStyle name="Percent 7 3 16" xfId="6964"/>
    <cellStyle name="Percent 7 3 17" xfId="6965"/>
    <cellStyle name="Percent 7 3 18" xfId="6966"/>
    <cellStyle name="Percent 7 3 19" xfId="6967"/>
    <cellStyle name="Percent 7 3 2" xfId="6968"/>
    <cellStyle name="Percent 7 3 2 2" xfId="6969"/>
    <cellStyle name="Percent 7 3 2 3" xfId="26188"/>
    <cellStyle name="Percent 7 3 2_Forecast" xfId="26189"/>
    <cellStyle name="Percent 7 3 20" xfId="6970"/>
    <cellStyle name="Percent 7 3 21" xfId="6971"/>
    <cellStyle name="Percent 7 3 22" xfId="6972"/>
    <cellStyle name="Percent 7 3 23" xfId="6973"/>
    <cellStyle name="Percent 7 3 24" xfId="6974"/>
    <cellStyle name="Percent 7 3 25" xfId="6975"/>
    <cellStyle name="Percent 7 3 26" xfId="6976"/>
    <cellStyle name="Percent 7 3 27" xfId="6977"/>
    <cellStyle name="Percent 7 3 28" xfId="6978"/>
    <cellStyle name="Percent 7 3 29" xfId="6979"/>
    <cellStyle name="Percent 7 3 3" xfId="6980"/>
    <cellStyle name="Percent 7 3 3 2" xfId="6981"/>
    <cellStyle name="Percent 7 3 3 3" xfId="26190"/>
    <cellStyle name="Percent 7 3 3_Forecast" xfId="26191"/>
    <cellStyle name="Percent 7 3 30" xfId="26192"/>
    <cellStyle name="Percent 7 3 4" xfId="6982"/>
    <cellStyle name="Percent 7 3 4 2" xfId="6983"/>
    <cellStyle name="Percent 7 3 4 3" xfId="26193"/>
    <cellStyle name="Percent 7 3 4_Forecast" xfId="26194"/>
    <cellStyle name="Percent 7 3 5" xfId="6984"/>
    <cellStyle name="Percent 7 3 5 2" xfId="6985"/>
    <cellStyle name="Percent 7 3 5 3" xfId="26195"/>
    <cellStyle name="Percent 7 3 5_Forecast" xfId="26196"/>
    <cellStyle name="Percent 7 3 6" xfId="6986"/>
    <cellStyle name="Percent 7 3 6 2" xfId="6987"/>
    <cellStyle name="Percent 7 3 6 3" xfId="26197"/>
    <cellStyle name="Percent 7 3 6_Forecast" xfId="26198"/>
    <cellStyle name="Percent 7 3 7" xfId="6988"/>
    <cellStyle name="Percent 7 3 7 2" xfId="6989"/>
    <cellStyle name="Percent 7 3 7 3" xfId="26199"/>
    <cellStyle name="Percent 7 3 7_Forecast" xfId="26200"/>
    <cellStyle name="Percent 7 3 8" xfId="6990"/>
    <cellStyle name="Percent 7 3 8 2" xfId="26201"/>
    <cellStyle name="Percent 7 3 8_Forecast" xfId="26202"/>
    <cellStyle name="Percent 7 3 9" xfId="6991"/>
    <cellStyle name="Percent 7 3 9 2" xfId="26203"/>
    <cellStyle name="Percent 7 3 9_Forecast" xfId="26204"/>
    <cellStyle name="Percent 7 3_Forecast" xfId="26205"/>
    <cellStyle name="Percent 7 30" xfId="6992"/>
    <cellStyle name="Percent 7 31" xfId="6993"/>
    <cellStyle name="Percent 7 32" xfId="6994"/>
    <cellStyle name="Percent 7 33" xfId="20691"/>
    <cellStyle name="Percent 7 4" xfId="6995"/>
    <cellStyle name="Percent 7 4 10" xfId="6996"/>
    <cellStyle name="Percent 7 4 10 2" xfId="26206"/>
    <cellStyle name="Percent 7 4 10_Forecast" xfId="26207"/>
    <cellStyle name="Percent 7 4 11" xfId="6997"/>
    <cellStyle name="Percent 7 4 12" xfId="6998"/>
    <cellStyle name="Percent 7 4 13" xfId="6999"/>
    <cellStyle name="Percent 7 4 14" xfId="7000"/>
    <cellStyle name="Percent 7 4 15" xfId="7001"/>
    <cellStyle name="Percent 7 4 16" xfId="7002"/>
    <cellStyle name="Percent 7 4 17" xfId="7003"/>
    <cellStyle name="Percent 7 4 18" xfId="7004"/>
    <cellStyle name="Percent 7 4 19" xfId="7005"/>
    <cellStyle name="Percent 7 4 2" xfId="7006"/>
    <cellStyle name="Percent 7 4 2 2" xfId="7007"/>
    <cellStyle name="Percent 7 4 2 3" xfId="26208"/>
    <cellStyle name="Percent 7 4 2_Forecast" xfId="26209"/>
    <cellStyle name="Percent 7 4 20" xfId="7008"/>
    <cellStyle name="Percent 7 4 21" xfId="7009"/>
    <cellStyle name="Percent 7 4 22" xfId="7010"/>
    <cellStyle name="Percent 7 4 23" xfId="7011"/>
    <cellStyle name="Percent 7 4 24" xfId="7012"/>
    <cellStyle name="Percent 7 4 25" xfId="7013"/>
    <cellStyle name="Percent 7 4 26" xfId="7014"/>
    <cellStyle name="Percent 7 4 27" xfId="7015"/>
    <cellStyle name="Percent 7 4 28" xfId="7016"/>
    <cellStyle name="Percent 7 4 29" xfId="7017"/>
    <cellStyle name="Percent 7 4 3" xfId="7018"/>
    <cellStyle name="Percent 7 4 3 2" xfId="7019"/>
    <cellStyle name="Percent 7 4 3 3" xfId="26210"/>
    <cellStyle name="Percent 7 4 3_Forecast" xfId="26211"/>
    <cellStyle name="Percent 7 4 30" xfId="26212"/>
    <cellStyle name="Percent 7 4 4" xfId="7020"/>
    <cellStyle name="Percent 7 4 4 2" xfId="7021"/>
    <cellStyle name="Percent 7 4 4 3" xfId="26213"/>
    <cellStyle name="Percent 7 4 4_Forecast" xfId="26214"/>
    <cellStyle name="Percent 7 4 5" xfId="7022"/>
    <cellStyle name="Percent 7 4 5 2" xfId="7023"/>
    <cellStyle name="Percent 7 4 5 3" xfId="26215"/>
    <cellStyle name="Percent 7 4 5_Forecast" xfId="26216"/>
    <cellStyle name="Percent 7 4 6" xfId="7024"/>
    <cellStyle name="Percent 7 4 6 2" xfId="7025"/>
    <cellStyle name="Percent 7 4 6 3" xfId="26217"/>
    <cellStyle name="Percent 7 4 6_Forecast" xfId="26218"/>
    <cellStyle name="Percent 7 4 7" xfId="7026"/>
    <cellStyle name="Percent 7 4 7 2" xfId="7027"/>
    <cellStyle name="Percent 7 4 7 3" xfId="26219"/>
    <cellStyle name="Percent 7 4 7_Forecast" xfId="26220"/>
    <cellStyle name="Percent 7 4 8" xfId="7028"/>
    <cellStyle name="Percent 7 4 8 2" xfId="26221"/>
    <cellStyle name="Percent 7 4 8_Forecast" xfId="26222"/>
    <cellStyle name="Percent 7 4 9" xfId="7029"/>
    <cellStyle name="Percent 7 4 9 2" xfId="26223"/>
    <cellStyle name="Percent 7 4 9_Forecast" xfId="26224"/>
    <cellStyle name="Percent 7 4_Forecast" xfId="26225"/>
    <cellStyle name="Percent 7 5" xfId="7030"/>
    <cellStyle name="Percent 7 5 2" xfId="7031"/>
    <cellStyle name="Percent 7 5 3" xfId="26226"/>
    <cellStyle name="Percent 7 5_Forecast" xfId="26227"/>
    <cellStyle name="Percent 7 6" xfId="7032"/>
    <cellStyle name="Percent 7 6 2" xfId="7033"/>
    <cellStyle name="Percent 7 6 3" xfId="26228"/>
    <cellStyle name="Percent 7 6_Forecast" xfId="26229"/>
    <cellStyle name="Percent 7 7" xfId="7034"/>
    <cellStyle name="Percent 7 7 2" xfId="7035"/>
    <cellStyle name="Percent 7 7 3" xfId="26230"/>
    <cellStyle name="Percent 7 7_Forecast" xfId="26231"/>
    <cellStyle name="Percent 7 8" xfId="7036"/>
    <cellStyle name="Percent 7 8 2" xfId="7037"/>
    <cellStyle name="Percent 7 8 3" xfId="26232"/>
    <cellStyle name="Percent 7 8_Forecast" xfId="26233"/>
    <cellStyle name="Percent 7 9" xfId="7038"/>
    <cellStyle name="Percent 7 9 2" xfId="7039"/>
    <cellStyle name="Percent 7 9 3" xfId="26234"/>
    <cellStyle name="Percent 7 9_Forecast" xfId="26235"/>
    <cellStyle name="Percent 7_Forecast" xfId="26236"/>
    <cellStyle name="Percent 8" xfId="7040"/>
    <cellStyle name="Percent 8 10" xfId="7041"/>
    <cellStyle name="Percent 8 10 2" xfId="26237"/>
    <cellStyle name="Percent 8 10_Forecast" xfId="26238"/>
    <cellStyle name="Percent 8 11" xfId="7042"/>
    <cellStyle name="Percent 8 12" xfId="7043"/>
    <cellStyle name="Percent 8 13" xfId="7044"/>
    <cellStyle name="Percent 8 14" xfId="7045"/>
    <cellStyle name="Percent 8 15" xfId="7046"/>
    <cellStyle name="Percent 8 16" xfId="7047"/>
    <cellStyle name="Percent 8 17" xfId="7048"/>
    <cellStyle name="Percent 8 18" xfId="7049"/>
    <cellStyle name="Percent 8 19" xfId="7050"/>
    <cellStyle name="Percent 8 2" xfId="7051"/>
    <cellStyle name="Percent 8 2 2" xfId="7052"/>
    <cellStyle name="Percent 8 2 3" xfId="26239"/>
    <cellStyle name="Percent 8 2_Forecast" xfId="26240"/>
    <cellStyle name="Percent 8 20" xfId="7053"/>
    <cellStyle name="Percent 8 21" xfId="7054"/>
    <cellStyle name="Percent 8 22" xfId="7055"/>
    <cellStyle name="Percent 8 23" xfId="7056"/>
    <cellStyle name="Percent 8 24" xfId="7057"/>
    <cellStyle name="Percent 8 25" xfId="7058"/>
    <cellStyle name="Percent 8 26" xfId="7059"/>
    <cellStyle name="Percent 8 27" xfId="7060"/>
    <cellStyle name="Percent 8 28" xfId="7061"/>
    <cellStyle name="Percent 8 29" xfId="7062"/>
    <cellStyle name="Percent 8 3" xfId="7063"/>
    <cellStyle name="Percent 8 3 2" xfId="7064"/>
    <cellStyle name="Percent 8 3 3" xfId="26241"/>
    <cellStyle name="Percent 8 3_Forecast" xfId="26242"/>
    <cellStyle name="Percent 8 30" xfId="21284"/>
    <cellStyle name="Percent 8 4" xfId="7065"/>
    <cellStyle name="Percent 8 4 2" xfId="7066"/>
    <cellStyle name="Percent 8 4 3" xfId="26243"/>
    <cellStyle name="Percent 8 4_Forecast" xfId="26244"/>
    <cellStyle name="Percent 8 5" xfId="7067"/>
    <cellStyle name="Percent 8 5 2" xfId="7068"/>
    <cellStyle name="Percent 8 5 3" xfId="26245"/>
    <cellStyle name="Percent 8 5_Forecast" xfId="26246"/>
    <cellStyle name="Percent 8 6" xfId="7069"/>
    <cellStyle name="Percent 8 6 2" xfId="7070"/>
    <cellStyle name="Percent 8 6 3" xfId="26247"/>
    <cellStyle name="Percent 8 6_Forecast" xfId="26248"/>
    <cellStyle name="Percent 8 7" xfId="7071"/>
    <cellStyle name="Percent 8 7 2" xfId="7072"/>
    <cellStyle name="Percent 8 7 3" xfId="26249"/>
    <cellStyle name="Percent 8 7_Forecast" xfId="26250"/>
    <cellStyle name="Percent 8 8" xfId="7073"/>
    <cellStyle name="Percent 8 8 2" xfId="26251"/>
    <cellStyle name="Percent 8 8_Forecast" xfId="26252"/>
    <cellStyle name="Percent 8 9" xfId="7074"/>
    <cellStyle name="Percent 8 9 2" xfId="26253"/>
    <cellStyle name="Percent 8 9_Forecast" xfId="26254"/>
    <cellStyle name="Percent 8_Forecast" xfId="26255"/>
    <cellStyle name="Percent 9" xfId="7075"/>
    <cellStyle name="Percent 9 10" xfId="7076"/>
    <cellStyle name="Percent 9 10 2" xfId="7077"/>
    <cellStyle name="Percent 9 10 3" xfId="26256"/>
    <cellStyle name="Percent 9 10_Forecast" xfId="26257"/>
    <cellStyle name="Percent 9 11" xfId="7078"/>
    <cellStyle name="Percent 9 11 2" xfId="26258"/>
    <cellStyle name="Percent 9 11_Forecast" xfId="26259"/>
    <cellStyle name="Percent 9 12" xfId="7079"/>
    <cellStyle name="Percent 9 12 2" xfId="26260"/>
    <cellStyle name="Percent 9 12_Forecast" xfId="26261"/>
    <cellStyle name="Percent 9 13" xfId="7080"/>
    <cellStyle name="Percent 9 13 2" xfId="26262"/>
    <cellStyle name="Percent 9 13_Forecast" xfId="26263"/>
    <cellStyle name="Percent 9 14" xfId="7081"/>
    <cellStyle name="Percent 9 15" xfId="7082"/>
    <cellStyle name="Percent 9 16" xfId="7083"/>
    <cellStyle name="Percent 9 17" xfId="7084"/>
    <cellStyle name="Percent 9 18" xfId="7085"/>
    <cellStyle name="Percent 9 19" xfId="7086"/>
    <cellStyle name="Percent 9 2" xfId="7087"/>
    <cellStyle name="Percent 9 2 10" xfId="7088"/>
    <cellStyle name="Percent 9 2 10 2" xfId="26264"/>
    <cellStyle name="Percent 9 2 10_Forecast" xfId="26265"/>
    <cellStyle name="Percent 9 2 11" xfId="7089"/>
    <cellStyle name="Percent 9 2 12" xfId="7090"/>
    <cellStyle name="Percent 9 2 13" xfId="7091"/>
    <cellStyle name="Percent 9 2 14" xfId="7092"/>
    <cellStyle name="Percent 9 2 15" xfId="7093"/>
    <cellStyle name="Percent 9 2 16" xfId="7094"/>
    <cellStyle name="Percent 9 2 17" xfId="7095"/>
    <cellStyle name="Percent 9 2 18" xfId="7096"/>
    <cellStyle name="Percent 9 2 19" xfId="7097"/>
    <cellStyle name="Percent 9 2 2" xfId="7098"/>
    <cellStyle name="Percent 9 2 2 2" xfId="7099"/>
    <cellStyle name="Percent 9 2 2 3" xfId="26266"/>
    <cellStyle name="Percent 9 2 2_Forecast" xfId="26267"/>
    <cellStyle name="Percent 9 2 20" xfId="7100"/>
    <cellStyle name="Percent 9 2 21" xfId="7101"/>
    <cellStyle name="Percent 9 2 22" xfId="7102"/>
    <cellStyle name="Percent 9 2 23" xfId="7103"/>
    <cellStyle name="Percent 9 2 24" xfId="7104"/>
    <cellStyle name="Percent 9 2 25" xfId="7105"/>
    <cellStyle name="Percent 9 2 26" xfId="7106"/>
    <cellStyle name="Percent 9 2 27" xfId="7107"/>
    <cellStyle name="Percent 9 2 28" xfId="7108"/>
    <cellStyle name="Percent 9 2 29" xfId="7109"/>
    <cellStyle name="Percent 9 2 3" xfId="7110"/>
    <cellStyle name="Percent 9 2 3 2" xfId="7111"/>
    <cellStyle name="Percent 9 2 3 3" xfId="26268"/>
    <cellStyle name="Percent 9 2 3_Forecast" xfId="26269"/>
    <cellStyle name="Percent 9 2 30" xfId="26270"/>
    <cellStyle name="Percent 9 2 4" xfId="7112"/>
    <cellStyle name="Percent 9 2 4 2" xfId="7113"/>
    <cellStyle name="Percent 9 2 4 3" xfId="26271"/>
    <cellStyle name="Percent 9 2 4_Forecast" xfId="26272"/>
    <cellStyle name="Percent 9 2 5" xfId="7114"/>
    <cellStyle name="Percent 9 2 5 2" xfId="7115"/>
    <cellStyle name="Percent 9 2 5 3" xfId="26273"/>
    <cellStyle name="Percent 9 2 5_Forecast" xfId="26274"/>
    <cellStyle name="Percent 9 2 6" xfId="7116"/>
    <cellStyle name="Percent 9 2 6 2" xfId="7117"/>
    <cellStyle name="Percent 9 2 6 3" xfId="26275"/>
    <cellStyle name="Percent 9 2 6_Forecast" xfId="26276"/>
    <cellStyle name="Percent 9 2 7" xfId="7118"/>
    <cellStyle name="Percent 9 2 7 2" xfId="7119"/>
    <cellStyle name="Percent 9 2 7 3" xfId="26277"/>
    <cellStyle name="Percent 9 2 7_Forecast" xfId="26278"/>
    <cellStyle name="Percent 9 2 8" xfId="7120"/>
    <cellStyle name="Percent 9 2 8 2" xfId="26279"/>
    <cellStyle name="Percent 9 2 8_Forecast" xfId="26280"/>
    <cellStyle name="Percent 9 2 9" xfId="7121"/>
    <cellStyle name="Percent 9 2 9 2" xfId="26281"/>
    <cellStyle name="Percent 9 2 9_Forecast" xfId="26282"/>
    <cellStyle name="Percent 9 2_Forecast" xfId="26283"/>
    <cellStyle name="Percent 9 20" xfId="7122"/>
    <cellStyle name="Percent 9 21" xfId="7123"/>
    <cellStyle name="Percent 9 22" xfId="7124"/>
    <cellStyle name="Percent 9 23" xfId="7125"/>
    <cellStyle name="Percent 9 24" xfId="7126"/>
    <cellStyle name="Percent 9 25" xfId="7127"/>
    <cellStyle name="Percent 9 26" xfId="7128"/>
    <cellStyle name="Percent 9 27" xfId="7129"/>
    <cellStyle name="Percent 9 28" xfId="7130"/>
    <cellStyle name="Percent 9 29" xfId="7131"/>
    <cellStyle name="Percent 9 3" xfId="7132"/>
    <cellStyle name="Percent 9 3 10" xfId="7133"/>
    <cellStyle name="Percent 9 3 10 2" xfId="26284"/>
    <cellStyle name="Percent 9 3 10_Forecast" xfId="26285"/>
    <cellStyle name="Percent 9 3 11" xfId="7134"/>
    <cellStyle name="Percent 9 3 12" xfId="7135"/>
    <cellStyle name="Percent 9 3 13" xfId="7136"/>
    <cellStyle name="Percent 9 3 14" xfId="7137"/>
    <cellStyle name="Percent 9 3 15" xfId="7138"/>
    <cellStyle name="Percent 9 3 16" xfId="7139"/>
    <cellStyle name="Percent 9 3 17" xfId="7140"/>
    <cellStyle name="Percent 9 3 18" xfId="7141"/>
    <cellStyle name="Percent 9 3 19" xfId="7142"/>
    <cellStyle name="Percent 9 3 2" xfId="7143"/>
    <cellStyle name="Percent 9 3 2 2" xfId="7144"/>
    <cellStyle name="Percent 9 3 2 3" xfId="26286"/>
    <cellStyle name="Percent 9 3 2_Forecast" xfId="26287"/>
    <cellStyle name="Percent 9 3 20" xfId="7145"/>
    <cellStyle name="Percent 9 3 21" xfId="7146"/>
    <cellStyle name="Percent 9 3 22" xfId="7147"/>
    <cellStyle name="Percent 9 3 23" xfId="7148"/>
    <cellStyle name="Percent 9 3 24" xfId="7149"/>
    <cellStyle name="Percent 9 3 25" xfId="7150"/>
    <cellStyle name="Percent 9 3 26" xfId="7151"/>
    <cellStyle name="Percent 9 3 27" xfId="7152"/>
    <cellStyle name="Percent 9 3 28" xfId="7153"/>
    <cellStyle name="Percent 9 3 29" xfId="7154"/>
    <cellStyle name="Percent 9 3 3" xfId="7155"/>
    <cellStyle name="Percent 9 3 3 2" xfId="7156"/>
    <cellStyle name="Percent 9 3 3 3" xfId="26288"/>
    <cellStyle name="Percent 9 3 3_Forecast" xfId="26289"/>
    <cellStyle name="Percent 9 3 30" xfId="26290"/>
    <cellStyle name="Percent 9 3 4" xfId="7157"/>
    <cellStyle name="Percent 9 3 4 2" xfId="7158"/>
    <cellStyle name="Percent 9 3 4 3" xfId="26291"/>
    <cellStyle name="Percent 9 3 4_Forecast" xfId="26292"/>
    <cellStyle name="Percent 9 3 5" xfId="7159"/>
    <cellStyle name="Percent 9 3 5 2" xfId="7160"/>
    <cellStyle name="Percent 9 3 5 3" xfId="26293"/>
    <cellStyle name="Percent 9 3 5_Forecast" xfId="26294"/>
    <cellStyle name="Percent 9 3 6" xfId="7161"/>
    <cellStyle name="Percent 9 3 6 2" xfId="7162"/>
    <cellStyle name="Percent 9 3 6 3" xfId="26295"/>
    <cellStyle name="Percent 9 3 6_Forecast" xfId="26296"/>
    <cellStyle name="Percent 9 3 7" xfId="7163"/>
    <cellStyle name="Percent 9 3 7 2" xfId="7164"/>
    <cellStyle name="Percent 9 3 7 3" xfId="26297"/>
    <cellStyle name="Percent 9 3 7_Forecast" xfId="26298"/>
    <cellStyle name="Percent 9 3 8" xfId="7165"/>
    <cellStyle name="Percent 9 3 8 2" xfId="26299"/>
    <cellStyle name="Percent 9 3 8_Forecast" xfId="26300"/>
    <cellStyle name="Percent 9 3 9" xfId="7166"/>
    <cellStyle name="Percent 9 3 9 2" xfId="26301"/>
    <cellStyle name="Percent 9 3 9_Forecast" xfId="26302"/>
    <cellStyle name="Percent 9 3_Forecast" xfId="26303"/>
    <cellStyle name="Percent 9 30" xfId="7167"/>
    <cellStyle name="Percent 9 31" xfId="7168"/>
    <cellStyle name="Percent 9 32" xfId="7169"/>
    <cellStyle name="Percent 9 33" xfId="26304"/>
    <cellStyle name="Percent 9 4" xfId="7170"/>
    <cellStyle name="Percent 9 4 10" xfId="7171"/>
    <cellStyle name="Percent 9 4 10 2" xfId="26305"/>
    <cellStyle name="Percent 9 4 10_Forecast" xfId="26306"/>
    <cellStyle name="Percent 9 4 11" xfId="7172"/>
    <cellStyle name="Percent 9 4 12" xfId="7173"/>
    <cellStyle name="Percent 9 4 13" xfId="7174"/>
    <cellStyle name="Percent 9 4 14" xfId="7175"/>
    <cellStyle name="Percent 9 4 15" xfId="7176"/>
    <cellStyle name="Percent 9 4 16" xfId="7177"/>
    <cellStyle name="Percent 9 4 17" xfId="7178"/>
    <cellStyle name="Percent 9 4 18" xfId="7179"/>
    <cellStyle name="Percent 9 4 19" xfId="7180"/>
    <cellStyle name="Percent 9 4 2" xfId="7181"/>
    <cellStyle name="Percent 9 4 2 2" xfId="7182"/>
    <cellStyle name="Percent 9 4 2 3" xfId="26307"/>
    <cellStyle name="Percent 9 4 2_Forecast" xfId="26308"/>
    <cellStyle name="Percent 9 4 20" xfId="7183"/>
    <cellStyle name="Percent 9 4 21" xfId="7184"/>
    <cellStyle name="Percent 9 4 22" xfId="7185"/>
    <cellStyle name="Percent 9 4 23" xfId="7186"/>
    <cellStyle name="Percent 9 4 24" xfId="7187"/>
    <cellStyle name="Percent 9 4 25" xfId="7188"/>
    <cellStyle name="Percent 9 4 26" xfId="7189"/>
    <cellStyle name="Percent 9 4 27" xfId="7190"/>
    <cellStyle name="Percent 9 4 28" xfId="7191"/>
    <cellStyle name="Percent 9 4 29" xfId="7192"/>
    <cellStyle name="Percent 9 4 3" xfId="7193"/>
    <cellStyle name="Percent 9 4 3 2" xfId="7194"/>
    <cellStyle name="Percent 9 4 3 3" xfId="26309"/>
    <cellStyle name="Percent 9 4 3_Forecast" xfId="26310"/>
    <cellStyle name="Percent 9 4 30" xfId="26311"/>
    <cellStyle name="Percent 9 4 4" xfId="7195"/>
    <cellStyle name="Percent 9 4 4 2" xfId="7196"/>
    <cellStyle name="Percent 9 4 4 3" xfId="26312"/>
    <cellStyle name="Percent 9 4 4_Forecast" xfId="26313"/>
    <cellStyle name="Percent 9 4 5" xfId="7197"/>
    <cellStyle name="Percent 9 4 5 2" xfId="7198"/>
    <cellStyle name="Percent 9 4 5 3" xfId="26314"/>
    <cellStyle name="Percent 9 4 5_Forecast" xfId="26315"/>
    <cellStyle name="Percent 9 4 6" xfId="7199"/>
    <cellStyle name="Percent 9 4 6 2" xfId="7200"/>
    <cellStyle name="Percent 9 4 6 3" xfId="26316"/>
    <cellStyle name="Percent 9 4 6_Forecast" xfId="26317"/>
    <cellStyle name="Percent 9 4 7" xfId="7201"/>
    <cellStyle name="Percent 9 4 7 2" xfId="7202"/>
    <cellStyle name="Percent 9 4 7 3" xfId="26318"/>
    <cellStyle name="Percent 9 4 7_Forecast" xfId="26319"/>
    <cellStyle name="Percent 9 4 8" xfId="7203"/>
    <cellStyle name="Percent 9 4 8 2" xfId="26320"/>
    <cellStyle name="Percent 9 4 8_Forecast" xfId="26321"/>
    <cellStyle name="Percent 9 4 9" xfId="7204"/>
    <cellStyle name="Percent 9 4 9 2" xfId="26322"/>
    <cellStyle name="Percent 9 4 9_Forecast" xfId="26323"/>
    <cellStyle name="Percent 9 4_Forecast" xfId="26324"/>
    <cellStyle name="Percent 9 5" xfId="7205"/>
    <cellStyle name="Percent 9 5 2" xfId="7206"/>
    <cellStyle name="Percent 9 5 3" xfId="26325"/>
    <cellStyle name="Percent 9 5_Forecast" xfId="26326"/>
    <cellStyle name="Percent 9 6" xfId="7207"/>
    <cellStyle name="Percent 9 6 2" xfId="7208"/>
    <cellStyle name="Percent 9 6 3" xfId="26327"/>
    <cellStyle name="Percent 9 6_Forecast" xfId="26328"/>
    <cellStyle name="Percent 9 7" xfId="7209"/>
    <cellStyle name="Percent 9 7 2" xfId="7210"/>
    <cellStyle name="Percent 9 7 3" xfId="26329"/>
    <cellStyle name="Percent 9 7_Forecast" xfId="26330"/>
    <cellStyle name="Percent 9 8" xfId="7211"/>
    <cellStyle name="Percent 9 8 2" xfId="7212"/>
    <cellStyle name="Percent 9 8 3" xfId="26331"/>
    <cellStyle name="Percent 9 8_Forecast" xfId="26332"/>
    <cellStyle name="Percent 9 9" xfId="7213"/>
    <cellStyle name="Percent 9 9 2" xfId="7214"/>
    <cellStyle name="Percent 9 9 3" xfId="26333"/>
    <cellStyle name="Percent 9 9_Forecast" xfId="26334"/>
    <cellStyle name="Percent 9_Forecast" xfId="26335"/>
    <cellStyle name="Subtotal" xfId="7215"/>
    <cellStyle name="Subtotal 10" xfId="7216"/>
    <cellStyle name="Subtotal 10 2" xfId="7217"/>
    <cellStyle name="Subtotal 10 3" xfId="26336"/>
    <cellStyle name="Subtotal 10_Forecast" xfId="26337"/>
    <cellStyle name="Subtotal 11" xfId="7218"/>
    <cellStyle name="Subtotal 11 2" xfId="7219"/>
    <cellStyle name="Subtotal 11 3" xfId="26338"/>
    <cellStyle name="Subtotal 11_Forecast" xfId="26339"/>
    <cellStyle name="Subtotal 12" xfId="7220"/>
    <cellStyle name="Subtotal 12 2" xfId="7221"/>
    <cellStyle name="Subtotal 12 3" xfId="26340"/>
    <cellStyle name="Subtotal 12_Forecast" xfId="26341"/>
    <cellStyle name="Subtotal 13" xfId="7222"/>
    <cellStyle name="Subtotal 13 2" xfId="7223"/>
    <cellStyle name="Subtotal 13 3" xfId="26342"/>
    <cellStyle name="Subtotal 13_Forecast" xfId="26343"/>
    <cellStyle name="Subtotal 14" xfId="7224"/>
    <cellStyle name="Subtotal 14 2" xfId="7225"/>
    <cellStyle name="Subtotal 14 3" xfId="26344"/>
    <cellStyle name="Subtotal 14_Forecast" xfId="26345"/>
    <cellStyle name="Subtotal 15" xfId="7226"/>
    <cellStyle name="Subtotal 15 2" xfId="7227"/>
    <cellStyle name="Subtotal 15 3" xfId="26346"/>
    <cellStyle name="Subtotal 15_Forecast" xfId="26347"/>
    <cellStyle name="Subtotal 16" xfId="7228"/>
    <cellStyle name="Subtotal 16 2" xfId="7229"/>
    <cellStyle name="Subtotal 16 3" xfId="26348"/>
    <cellStyle name="Subtotal 16_Forecast" xfId="26349"/>
    <cellStyle name="Subtotal 17" xfId="7230"/>
    <cellStyle name="Subtotal 17 2" xfId="7231"/>
    <cellStyle name="Subtotal 17 3" xfId="26350"/>
    <cellStyle name="Subtotal 17_Forecast" xfId="26351"/>
    <cellStyle name="Subtotal 18" xfId="7232"/>
    <cellStyle name="Subtotal 18 2" xfId="7233"/>
    <cellStyle name="Subtotal 18 3" xfId="26352"/>
    <cellStyle name="Subtotal 18_Forecast" xfId="26353"/>
    <cellStyle name="Subtotal 19" xfId="7234"/>
    <cellStyle name="Subtotal 19 2" xfId="7235"/>
    <cellStyle name="Subtotal 19 3" xfId="26354"/>
    <cellStyle name="Subtotal 19_Forecast" xfId="26355"/>
    <cellStyle name="Subtotal 2" xfId="7236"/>
    <cellStyle name="Subtotal 2 2" xfId="7237"/>
    <cellStyle name="Subtotal 2 3" xfId="26356"/>
    <cellStyle name="Subtotal 2_Forecast" xfId="26357"/>
    <cellStyle name="Subtotal 20" xfId="7238"/>
    <cellStyle name="Subtotal 20 2" xfId="7239"/>
    <cellStyle name="Subtotal 20 3" xfId="26358"/>
    <cellStyle name="Subtotal 20_Forecast" xfId="26359"/>
    <cellStyle name="Subtotal 21" xfId="7240"/>
    <cellStyle name="Subtotal 21 2" xfId="7241"/>
    <cellStyle name="Subtotal 21 3" xfId="26360"/>
    <cellStyle name="Subtotal 21_Forecast" xfId="26361"/>
    <cellStyle name="Subtotal 22" xfId="7242"/>
    <cellStyle name="Subtotal 22 2" xfId="7243"/>
    <cellStyle name="Subtotal 22 3" xfId="26362"/>
    <cellStyle name="Subtotal 22_Forecast" xfId="26363"/>
    <cellStyle name="Subtotal 23" xfId="7244"/>
    <cellStyle name="Subtotal 23 2" xfId="7245"/>
    <cellStyle name="Subtotal 23 3" xfId="26364"/>
    <cellStyle name="Subtotal 23_Forecast" xfId="26365"/>
    <cellStyle name="Subtotal 24" xfId="7246"/>
    <cellStyle name="Subtotal 24 2" xfId="7247"/>
    <cellStyle name="Subtotal 24 3" xfId="26366"/>
    <cellStyle name="Subtotal 24_Forecast" xfId="26367"/>
    <cellStyle name="Subtotal 25" xfId="7248"/>
    <cellStyle name="Subtotal 25 2" xfId="7249"/>
    <cellStyle name="Subtotal 25 3" xfId="26368"/>
    <cellStyle name="Subtotal 25_Forecast" xfId="26369"/>
    <cellStyle name="Subtotal 26" xfId="7250"/>
    <cellStyle name="Subtotal 26 2" xfId="7251"/>
    <cellStyle name="Subtotal 26 3" xfId="26370"/>
    <cellStyle name="Subtotal 26_Forecast" xfId="26371"/>
    <cellStyle name="Subtotal 27" xfId="7252"/>
    <cellStyle name="Subtotal 27 2" xfId="7253"/>
    <cellStyle name="Subtotal 27 3" xfId="26372"/>
    <cellStyle name="Subtotal 27_Forecast" xfId="26373"/>
    <cellStyle name="Subtotal 28" xfId="7254"/>
    <cellStyle name="Subtotal 29" xfId="26374"/>
    <cellStyle name="Subtotal 3" xfId="7255"/>
    <cellStyle name="Subtotal 3 2" xfId="7256"/>
    <cellStyle name="Subtotal 3 3" xfId="26375"/>
    <cellStyle name="Subtotal 3_Forecast" xfId="26376"/>
    <cellStyle name="Subtotal 4" xfId="7257"/>
    <cellStyle name="Subtotal 4 2" xfId="7258"/>
    <cellStyle name="Subtotal 4 3" xfId="26377"/>
    <cellStyle name="Subtotal 4_Forecast" xfId="26378"/>
    <cellStyle name="Subtotal 5" xfId="7259"/>
    <cellStyle name="Subtotal 5 2" xfId="7260"/>
    <cellStyle name="Subtotal 5 3" xfId="26379"/>
    <cellStyle name="Subtotal 5_Forecast" xfId="26380"/>
    <cellStyle name="Subtotal 6" xfId="7261"/>
    <cellStyle name="Subtotal 6 2" xfId="7262"/>
    <cellStyle name="Subtotal 6 3" xfId="26381"/>
    <cellStyle name="Subtotal 6_Forecast" xfId="26382"/>
    <cellStyle name="Subtotal 7" xfId="7263"/>
    <cellStyle name="Subtotal 7 2" xfId="7264"/>
    <cellStyle name="Subtotal 7 3" xfId="26383"/>
    <cellStyle name="Subtotal 7_Forecast" xfId="26384"/>
    <cellStyle name="Subtotal 8" xfId="7265"/>
    <cellStyle name="Subtotal 8 2" xfId="7266"/>
    <cellStyle name="Subtotal 8 3" xfId="26385"/>
    <cellStyle name="Subtotal 8_Forecast" xfId="26386"/>
    <cellStyle name="Subtotal 9" xfId="7267"/>
    <cellStyle name="Subtotal 9 2" xfId="7268"/>
    <cellStyle name="Subtotal 9 3" xfId="26387"/>
    <cellStyle name="Subtotal 9_Forecast" xfId="26388"/>
    <cellStyle name="Subtotal_Forecast" xfId="26389"/>
    <cellStyle name="Title" xfId="7269" builtinId="15" customBuiltin="1"/>
    <cellStyle name="Title 10" xfId="20692"/>
    <cellStyle name="Title 100" xfId="20693"/>
    <cellStyle name="Title 101" xfId="20694"/>
    <cellStyle name="Title 102" xfId="20695"/>
    <cellStyle name="Title 103" xfId="20696"/>
    <cellStyle name="Title 104" xfId="20697"/>
    <cellStyle name="Title 105" xfId="20698"/>
    <cellStyle name="Title 106" xfId="20699"/>
    <cellStyle name="Title 107" xfId="20700"/>
    <cellStyle name="Title 108" xfId="20701"/>
    <cellStyle name="Title 109" xfId="20702"/>
    <cellStyle name="Title 11" xfId="20703"/>
    <cellStyle name="Title 110" xfId="20704"/>
    <cellStyle name="Title 111" xfId="20705"/>
    <cellStyle name="Title 112" xfId="20706"/>
    <cellStyle name="Title 113" xfId="20707"/>
    <cellStyle name="Title 114" xfId="20708"/>
    <cellStyle name="Title 115" xfId="20709"/>
    <cellStyle name="Title 116" xfId="20710"/>
    <cellStyle name="Title 117" xfId="20711"/>
    <cellStyle name="Title 118" xfId="20712"/>
    <cellStyle name="Title 119" xfId="20713"/>
    <cellStyle name="Title 12" xfId="20714"/>
    <cellStyle name="Title 120" xfId="20715"/>
    <cellStyle name="Title 121" xfId="20716"/>
    <cellStyle name="Title 122" xfId="20717"/>
    <cellStyle name="Title 123" xfId="20718"/>
    <cellStyle name="Title 124" xfId="20719"/>
    <cellStyle name="Title 125" xfId="20720"/>
    <cellStyle name="Title 126" xfId="20721"/>
    <cellStyle name="Title 127" xfId="20722"/>
    <cellStyle name="Title 128" xfId="20723"/>
    <cellStyle name="Title 129" xfId="20724"/>
    <cellStyle name="Title 13" xfId="20725"/>
    <cellStyle name="Title 130" xfId="20726"/>
    <cellStyle name="Title 131" xfId="20727"/>
    <cellStyle name="Title 132" xfId="20728"/>
    <cellStyle name="Title 133" xfId="20729"/>
    <cellStyle name="Title 134" xfId="20730"/>
    <cellStyle name="Title 135" xfId="20731"/>
    <cellStyle name="Title 136" xfId="20732"/>
    <cellStyle name="Title 137" xfId="20733"/>
    <cellStyle name="Title 138" xfId="20734"/>
    <cellStyle name="Title 139" xfId="20735"/>
    <cellStyle name="Title 14" xfId="20736"/>
    <cellStyle name="Title 140" xfId="20737"/>
    <cellStyle name="Title 141" xfId="20738"/>
    <cellStyle name="Title 142" xfId="20739"/>
    <cellStyle name="Title 143" xfId="20740"/>
    <cellStyle name="Title 144" xfId="20741"/>
    <cellStyle name="Title 145" xfId="20742"/>
    <cellStyle name="Title 146" xfId="20743"/>
    <cellStyle name="Title 147" xfId="20744"/>
    <cellStyle name="Title 148" xfId="20745"/>
    <cellStyle name="Title 149" xfId="20746"/>
    <cellStyle name="Title 15" xfId="20747"/>
    <cellStyle name="Title 150" xfId="20748"/>
    <cellStyle name="Title 151" xfId="20749"/>
    <cellStyle name="Title 152" xfId="20750"/>
    <cellStyle name="Title 153" xfId="20751"/>
    <cellStyle name="Title 154" xfId="20752"/>
    <cellStyle name="Title 155" xfId="20753"/>
    <cellStyle name="Title 156" xfId="20754"/>
    <cellStyle name="Title 157" xfId="20755"/>
    <cellStyle name="Title 158" xfId="20756"/>
    <cellStyle name="Title 159" xfId="20757"/>
    <cellStyle name="Title 16" xfId="20758"/>
    <cellStyle name="Title 160" xfId="20759"/>
    <cellStyle name="Title 161" xfId="20760"/>
    <cellStyle name="Title 162" xfId="20761"/>
    <cellStyle name="Title 163" xfId="20762"/>
    <cellStyle name="Title 163 2" xfId="21672"/>
    <cellStyle name="Title 163 3" xfId="21673"/>
    <cellStyle name="Title 163_Note Calc" xfId="27873"/>
    <cellStyle name="Title 164" xfId="20763"/>
    <cellStyle name="Title 165" xfId="20764"/>
    <cellStyle name="Title 166" xfId="20765"/>
    <cellStyle name="Title 167" xfId="20766"/>
    <cellStyle name="Title 168" xfId="20767"/>
    <cellStyle name="Title 169" xfId="20768"/>
    <cellStyle name="Title 17" xfId="20769"/>
    <cellStyle name="Title 170" xfId="20770"/>
    <cellStyle name="Title 171" xfId="20771"/>
    <cellStyle name="Title 172" xfId="20772"/>
    <cellStyle name="Title 173" xfId="20773"/>
    <cellStyle name="Title 174" xfId="20774"/>
    <cellStyle name="Title 175" xfId="20775"/>
    <cellStyle name="Title 176" xfId="20776"/>
    <cellStyle name="Title 177" xfId="20777"/>
    <cellStyle name="Title 178" xfId="20778"/>
    <cellStyle name="Title 179" xfId="20779"/>
    <cellStyle name="Title 18" xfId="20780"/>
    <cellStyle name="Title 180" xfId="20781"/>
    <cellStyle name="Title 181" xfId="20782"/>
    <cellStyle name="Title 182" xfId="20783"/>
    <cellStyle name="Title 183" xfId="20784"/>
    <cellStyle name="Title 184" xfId="20785"/>
    <cellStyle name="Title 185" xfId="20786"/>
    <cellStyle name="Title 186" xfId="20787"/>
    <cellStyle name="Title 187" xfId="20788"/>
    <cellStyle name="Title 188" xfId="20789"/>
    <cellStyle name="Title 189" xfId="20790"/>
    <cellStyle name="Title 19" xfId="20791"/>
    <cellStyle name="Title 190" xfId="20792"/>
    <cellStyle name="Title 191" xfId="20793"/>
    <cellStyle name="Title 192" xfId="20794"/>
    <cellStyle name="Title 193" xfId="20795"/>
    <cellStyle name="Title 194" xfId="20796"/>
    <cellStyle name="Title 195" xfId="20797"/>
    <cellStyle name="Title 196" xfId="20798"/>
    <cellStyle name="Title 197" xfId="20799"/>
    <cellStyle name="Title 198" xfId="20800"/>
    <cellStyle name="Title 199" xfId="20801"/>
    <cellStyle name="Title 2" xfId="7270"/>
    <cellStyle name="Title 2 2" xfId="7271"/>
    <cellStyle name="Title 2 2 2" xfId="21674"/>
    <cellStyle name="Title 2 2_Note Calc" xfId="27874"/>
    <cellStyle name="Title 2 3" xfId="21675"/>
    <cellStyle name="Title 2 4" xfId="21676"/>
    <cellStyle name="Title 2 5" xfId="20802"/>
    <cellStyle name="Title 2_Forecast" xfId="26390"/>
    <cellStyle name="Title 20" xfId="20803"/>
    <cellStyle name="Title 200" xfId="20804"/>
    <cellStyle name="Title 21" xfId="20805"/>
    <cellStyle name="Title 22" xfId="20806"/>
    <cellStyle name="Title 23" xfId="20807"/>
    <cellStyle name="Title 24" xfId="20808"/>
    <cellStyle name="Title 25" xfId="20809"/>
    <cellStyle name="Title 26" xfId="20810"/>
    <cellStyle name="Title 27" xfId="20811"/>
    <cellStyle name="Title 28" xfId="20812"/>
    <cellStyle name="Title 29" xfId="20813"/>
    <cellStyle name="Title 3" xfId="7272"/>
    <cellStyle name="Title 3 2" xfId="20814"/>
    <cellStyle name="Title 3_Note Calc" xfId="27875"/>
    <cellStyle name="Title 30" xfId="20815"/>
    <cellStyle name="Title 31" xfId="20816"/>
    <cellStyle name="Title 32" xfId="20817"/>
    <cellStyle name="Title 33" xfId="20818"/>
    <cellStyle name="Title 34" xfId="20819"/>
    <cellStyle name="Title 35" xfId="20820"/>
    <cellStyle name="Title 36" xfId="20821"/>
    <cellStyle name="Title 37" xfId="20822"/>
    <cellStyle name="Title 38" xfId="20823"/>
    <cellStyle name="Title 39" xfId="20824"/>
    <cellStyle name="Title 4" xfId="7406"/>
    <cellStyle name="Title 40" xfId="20825"/>
    <cellStyle name="Title 41" xfId="20826"/>
    <cellStyle name="Title 42" xfId="20827"/>
    <cellStyle name="Title 43" xfId="20828"/>
    <cellStyle name="Title 44" xfId="20829"/>
    <cellStyle name="Title 45" xfId="20830"/>
    <cellStyle name="Title 46" xfId="20831"/>
    <cellStyle name="Title 47" xfId="20832"/>
    <cellStyle name="Title 48" xfId="20833"/>
    <cellStyle name="Title 49" xfId="20834"/>
    <cellStyle name="Title 5" xfId="7423"/>
    <cellStyle name="Title 50" xfId="20835"/>
    <cellStyle name="Title 51" xfId="20836"/>
    <cellStyle name="Title 52" xfId="20837"/>
    <cellStyle name="Title 53" xfId="20838"/>
    <cellStyle name="Title 54" xfId="20839"/>
    <cellStyle name="Title 55" xfId="20840"/>
    <cellStyle name="Title 56" xfId="20841"/>
    <cellStyle name="Title 57" xfId="20842"/>
    <cellStyle name="Title 58" xfId="20843"/>
    <cellStyle name="Title 59" xfId="20844"/>
    <cellStyle name="Title 6" xfId="8189"/>
    <cellStyle name="Title 60" xfId="20845"/>
    <cellStyle name="Title 61" xfId="20846"/>
    <cellStyle name="Title 62" xfId="20847"/>
    <cellStyle name="Title 63" xfId="20848"/>
    <cellStyle name="Title 64" xfId="20849"/>
    <cellStyle name="Title 65" xfId="20850"/>
    <cellStyle name="Title 66" xfId="20851"/>
    <cellStyle name="Title 67" xfId="20852"/>
    <cellStyle name="Title 68" xfId="20853"/>
    <cellStyle name="Title 69" xfId="20854"/>
    <cellStyle name="Title 7" xfId="8495"/>
    <cellStyle name="Title 70" xfId="20855"/>
    <cellStyle name="Title 71" xfId="20856"/>
    <cellStyle name="Title 72" xfId="20857"/>
    <cellStyle name="Title 73" xfId="20858"/>
    <cellStyle name="Title 74" xfId="20859"/>
    <cellStyle name="Title 75" xfId="20860"/>
    <cellStyle name="Title 76" xfId="20861"/>
    <cellStyle name="Title 77" xfId="20862"/>
    <cellStyle name="Title 78" xfId="20863"/>
    <cellStyle name="Title 79" xfId="20864"/>
    <cellStyle name="Title 8" xfId="12175"/>
    <cellStyle name="Title 8 2" xfId="20865"/>
    <cellStyle name="Title 8_Note Calc" xfId="27876"/>
    <cellStyle name="Title 80" xfId="20866"/>
    <cellStyle name="Title 81" xfId="20867"/>
    <cellStyle name="Title 82" xfId="20868"/>
    <cellStyle name="Title 83" xfId="20869"/>
    <cellStyle name="Title 84" xfId="20870"/>
    <cellStyle name="Title 85" xfId="20871"/>
    <cellStyle name="Title 86" xfId="20872"/>
    <cellStyle name="Title 87" xfId="20873"/>
    <cellStyle name="Title 88" xfId="20874"/>
    <cellStyle name="Title 89" xfId="20875"/>
    <cellStyle name="Title 9" xfId="20876"/>
    <cellStyle name="Title 90" xfId="20877"/>
    <cellStyle name="Title 91" xfId="20878"/>
    <cellStyle name="Title 92" xfId="20879"/>
    <cellStyle name="Title 93" xfId="20880"/>
    <cellStyle name="Title 94" xfId="20881"/>
    <cellStyle name="Title 95" xfId="20882"/>
    <cellStyle name="Title 96" xfId="20883"/>
    <cellStyle name="Title 97" xfId="20884"/>
    <cellStyle name="Title 98" xfId="20885"/>
    <cellStyle name="Title 99" xfId="20886"/>
    <cellStyle name="Total" xfId="7273" builtinId="25" customBuiltin="1"/>
    <cellStyle name="Total 10" xfId="7409"/>
    <cellStyle name="Total 10 2" xfId="20887"/>
    <cellStyle name="Total 10_Note Calc" xfId="27877"/>
    <cellStyle name="Total 100" xfId="20888"/>
    <cellStyle name="Total 101" xfId="20889"/>
    <cellStyle name="Total 102" xfId="20890"/>
    <cellStyle name="Total 103" xfId="20891"/>
    <cellStyle name="Total 104" xfId="20892"/>
    <cellStyle name="Total 105" xfId="20893"/>
    <cellStyle name="Total 106" xfId="20894"/>
    <cellStyle name="Total 107" xfId="20895"/>
    <cellStyle name="Total 108" xfId="20896"/>
    <cellStyle name="Total 109" xfId="20897"/>
    <cellStyle name="Total 11" xfId="12176"/>
    <cellStyle name="Total 11 2" xfId="20898"/>
    <cellStyle name="Total 11_Note Calc" xfId="27878"/>
    <cellStyle name="Total 110" xfId="20899"/>
    <cellStyle name="Total 111" xfId="20900"/>
    <cellStyle name="Total 112" xfId="20901"/>
    <cellStyle name="Total 113" xfId="20902"/>
    <cellStyle name="Total 114" xfId="20903"/>
    <cellStyle name="Total 115" xfId="20904"/>
    <cellStyle name="Total 116" xfId="20905"/>
    <cellStyle name="Total 117" xfId="20906"/>
    <cellStyle name="Total 118" xfId="20907"/>
    <cellStyle name="Total 119" xfId="20908"/>
    <cellStyle name="Total 12" xfId="12233"/>
    <cellStyle name="Total 120" xfId="20909"/>
    <cellStyle name="Total 121" xfId="20910"/>
    <cellStyle name="Total 122" xfId="20911"/>
    <cellStyle name="Total 123" xfId="20912"/>
    <cellStyle name="Total 124" xfId="20913"/>
    <cellStyle name="Total 125" xfId="20914"/>
    <cellStyle name="Total 126" xfId="20915"/>
    <cellStyle name="Total 127" xfId="20916"/>
    <cellStyle name="Total 128" xfId="20917"/>
    <cellStyle name="Total 129" xfId="20918"/>
    <cellStyle name="Total 13" xfId="20919"/>
    <cellStyle name="Total 130" xfId="20920"/>
    <cellStyle name="Total 131" xfId="20921"/>
    <cellStyle name="Total 132" xfId="20922"/>
    <cellStyle name="Total 133" xfId="20923"/>
    <cellStyle name="Total 134" xfId="20924"/>
    <cellStyle name="Total 135" xfId="20925"/>
    <cellStyle name="Total 136" xfId="20926"/>
    <cellStyle name="Total 137" xfId="20927"/>
    <cellStyle name="Total 138" xfId="20928"/>
    <cellStyle name="Total 139" xfId="20929"/>
    <cellStyle name="Total 14" xfId="20930"/>
    <cellStyle name="Total 140" xfId="20931"/>
    <cellStyle name="Total 141" xfId="20932"/>
    <cellStyle name="Total 142" xfId="20933"/>
    <cellStyle name="Total 143" xfId="20934"/>
    <cellStyle name="Total 144" xfId="20935"/>
    <cellStyle name="Total 145" xfId="20936"/>
    <cellStyle name="Total 146" xfId="20937"/>
    <cellStyle name="Total 147" xfId="20938"/>
    <cellStyle name="Total 148" xfId="20939"/>
    <cellStyle name="Total 149" xfId="20940"/>
    <cellStyle name="Total 15" xfId="20941"/>
    <cellStyle name="Total 150" xfId="20942"/>
    <cellStyle name="Total 151" xfId="20943"/>
    <cellStyle name="Total 152" xfId="20944"/>
    <cellStyle name="Total 153" xfId="20945"/>
    <cellStyle name="Total 154" xfId="20946"/>
    <cellStyle name="Total 155" xfId="20947"/>
    <cellStyle name="Total 156" xfId="20948"/>
    <cellStyle name="Total 157" xfId="20949"/>
    <cellStyle name="Total 158" xfId="20950"/>
    <cellStyle name="Total 159" xfId="20951"/>
    <cellStyle name="Total 16" xfId="20952"/>
    <cellStyle name="Total 160" xfId="20953"/>
    <cellStyle name="Total 161" xfId="20954"/>
    <cellStyle name="Total 162" xfId="20955"/>
    <cellStyle name="Total 163" xfId="20956"/>
    <cellStyle name="Total 163 2" xfId="21677"/>
    <cellStyle name="Total 163 3" xfId="21678"/>
    <cellStyle name="Total 163_Note Calc" xfId="27879"/>
    <cellStyle name="Total 164" xfId="20957"/>
    <cellStyle name="Total 165" xfId="20958"/>
    <cellStyle name="Total 166" xfId="20959"/>
    <cellStyle name="Total 167" xfId="20960"/>
    <cellStyle name="Total 168" xfId="20961"/>
    <cellStyle name="Total 169" xfId="20962"/>
    <cellStyle name="Total 17" xfId="20963"/>
    <cellStyle name="Total 170" xfId="20964"/>
    <cellStyle name="Total 171" xfId="20965"/>
    <cellStyle name="Total 172" xfId="20966"/>
    <cellStyle name="Total 173" xfId="20967"/>
    <cellStyle name="Total 174" xfId="20968"/>
    <cellStyle name="Total 175" xfId="20969"/>
    <cellStyle name="Total 176" xfId="20970"/>
    <cellStyle name="Total 177" xfId="20971"/>
    <cellStyle name="Total 178" xfId="20972"/>
    <cellStyle name="Total 179" xfId="20973"/>
    <cellStyle name="Total 18" xfId="20974"/>
    <cellStyle name="Total 180" xfId="20975"/>
    <cellStyle name="Total 181" xfId="20976"/>
    <cellStyle name="Total 182" xfId="20977"/>
    <cellStyle name="Total 183" xfId="20978"/>
    <cellStyle name="Total 184" xfId="20979"/>
    <cellStyle name="Total 185" xfId="20980"/>
    <cellStyle name="Total 186" xfId="20981"/>
    <cellStyle name="Total 187" xfId="20982"/>
    <cellStyle name="Total 188" xfId="20983"/>
    <cellStyle name="Total 189" xfId="20984"/>
    <cellStyle name="Total 19" xfId="20985"/>
    <cellStyle name="Total 190" xfId="20986"/>
    <cellStyle name="Total 191" xfId="20987"/>
    <cellStyle name="Total 192" xfId="20988"/>
    <cellStyle name="Total 193" xfId="20989"/>
    <cellStyle name="Total 194" xfId="20990"/>
    <cellStyle name="Total 195" xfId="20991"/>
    <cellStyle name="Total 196" xfId="20992"/>
    <cellStyle name="Total 197" xfId="20993"/>
    <cellStyle name="Total 198" xfId="20994"/>
    <cellStyle name="Total 199" xfId="20995"/>
    <cellStyle name="Total 2" xfId="7274"/>
    <cellStyle name="Total 2 10" xfId="7275"/>
    <cellStyle name="Total 2 10 2" xfId="7276"/>
    <cellStyle name="Total 2 10 3" xfId="26391"/>
    <cellStyle name="Total 2 10_Forecast" xfId="26392"/>
    <cellStyle name="Total 2 11" xfId="7277"/>
    <cellStyle name="Total 2 11 2" xfId="7278"/>
    <cellStyle name="Total 2 11 3" xfId="26393"/>
    <cellStyle name="Total 2 11_Forecast" xfId="26394"/>
    <cellStyle name="Total 2 12" xfId="7279"/>
    <cellStyle name="Total 2 12 2" xfId="7280"/>
    <cellStyle name="Total 2 12 3" xfId="26395"/>
    <cellStyle name="Total 2 12_Forecast" xfId="26396"/>
    <cellStyle name="Total 2 13" xfId="7281"/>
    <cellStyle name="Total 2 13 2" xfId="7282"/>
    <cellStyle name="Total 2 13 3" xfId="26397"/>
    <cellStyle name="Total 2 13_Forecast" xfId="26398"/>
    <cellStyle name="Total 2 14" xfId="7283"/>
    <cellStyle name="Total 2 14 2" xfId="7284"/>
    <cellStyle name="Total 2 14 3" xfId="26399"/>
    <cellStyle name="Total 2 14_Forecast" xfId="26400"/>
    <cellStyle name="Total 2 15" xfId="7285"/>
    <cellStyle name="Total 2 15 2" xfId="7286"/>
    <cellStyle name="Total 2 15 3" xfId="26401"/>
    <cellStyle name="Total 2 15_Forecast" xfId="26402"/>
    <cellStyle name="Total 2 16" xfId="7287"/>
    <cellStyle name="Total 2 16 2" xfId="7288"/>
    <cellStyle name="Total 2 16 3" xfId="26403"/>
    <cellStyle name="Total 2 16_Forecast" xfId="26404"/>
    <cellStyle name="Total 2 17" xfId="7289"/>
    <cellStyle name="Total 2 17 2" xfId="7290"/>
    <cellStyle name="Total 2 17 3" xfId="26405"/>
    <cellStyle name="Total 2 17_Forecast" xfId="26406"/>
    <cellStyle name="Total 2 18" xfId="7291"/>
    <cellStyle name="Total 2 18 2" xfId="7292"/>
    <cellStyle name="Total 2 18 3" xfId="26407"/>
    <cellStyle name="Total 2 18_Forecast" xfId="26408"/>
    <cellStyle name="Total 2 19" xfId="7293"/>
    <cellStyle name="Total 2 19 2" xfId="7294"/>
    <cellStyle name="Total 2 19 3" xfId="26409"/>
    <cellStyle name="Total 2 19_Forecast" xfId="26410"/>
    <cellStyle name="Total 2 2" xfId="7295"/>
    <cellStyle name="Total 2 2 2" xfId="7296"/>
    <cellStyle name="Total 2 2 3" xfId="8163"/>
    <cellStyle name="Total 2 2 4" xfId="8465"/>
    <cellStyle name="Total 2 2 5" xfId="8560"/>
    <cellStyle name="Total 2 2 6" xfId="21679"/>
    <cellStyle name="Total 2 2_Forecast" xfId="26411"/>
    <cellStyle name="Total 2 20" xfId="7297"/>
    <cellStyle name="Total 2 20 2" xfId="7298"/>
    <cellStyle name="Total 2 20 3" xfId="26412"/>
    <cellStyle name="Total 2 20_Forecast" xfId="26413"/>
    <cellStyle name="Total 2 21" xfId="7299"/>
    <cellStyle name="Total 2 21 2" xfId="7300"/>
    <cellStyle name="Total 2 21 3" xfId="26414"/>
    <cellStyle name="Total 2 21_Forecast" xfId="26415"/>
    <cellStyle name="Total 2 22" xfId="7301"/>
    <cellStyle name="Total 2 22 2" xfId="7302"/>
    <cellStyle name="Total 2 22 3" xfId="26416"/>
    <cellStyle name="Total 2 22_Forecast" xfId="26417"/>
    <cellStyle name="Total 2 23" xfId="7303"/>
    <cellStyle name="Total 2 23 2" xfId="7304"/>
    <cellStyle name="Total 2 23 3" xfId="26418"/>
    <cellStyle name="Total 2 23_Forecast" xfId="26419"/>
    <cellStyle name="Total 2 24" xfId="7305"/>
    <cellStyle name="Total 2 25" xfId="8162"/>
    <cellStyle name="Total 2 26" xfId="8464"/>
    <cellStyle name="Total 2 27" xfId="8559"/>
    <cellStyle name="Total 2 28" xfId="12177"/>
    <cellStyle name="Total 2 29" xfId="20996"/>
    <cellStyle name="Total 2 3" xfId="7306"/>
    <cellStyle name="Total 2 3 2" xfId="7307"/>
    <cellStyle name="Total 2 3 3" xfId="8164"/>
    <cellStyle name="Total 2 3 4" xfId="8466"/>
    <cellStyle name="Total 2 3 5" xfId="8561"/>
    <cellStyle name="Total 2 3 6" xfId="21680"/>
    <cellStyle name="Total 2 3_Forecast" xfId="26420"/>
    <cellStyle name="Total 2 30" xfId="27880"/>
    <cellStyle name="Total 2 4" xfId="7308"/>
    <cellStyle name="Total 2 4 2" xfId="7309"/>
    <cellStyle name="Total 2 4 3" xfId="8165"/>
    <cellStyle name="Total 2 4 4" xfId="8467"/>
    <cellStyle name="Total 2 4 5" xfId="8562"/>
    <cellStyle name="Total 2 4 6" xfId="21681"/>
    <cellStyle name="Total 2 4_Forecast" xfId="26421"/>
    <cellStyle name="Total 2 5" xfId="7310"/>
    <cellStyle name="Total 2 5 2" xfId="7311"/>
    <cellStyle name="Total 2 5 3" xfId="8166"/>
    <cellStyle name="Total 2 5 4" xfId="8468"/>
    <cellStyle name="Total 2 5 5" xfId="8563"/>
    <cellStyle name="Total 2 5 6" xfId="26422"/>
    <cellStyle name="Total 2 5_Forecast" xfId="26423"/>
    <cellStyle name="Total 2 6" xfId="7312"/>
    <cellStyle name="Total 2 6 2" xfId="7313"/>
    <cellStyle name="Total 2 6 3" xfId="8167"/>
    <cellStyle name="Total 2 6 4" xfId="8469"/>
    <cellStyle name="Total 2 6 5" xfId="8564"/>
    <cellStyle name="Total 2 6 6" xfId="26424"/>
    <cellStyle name="Total 2 6_Forecast" xfId="26425"/>
    <cellStyle name="Total 2 7" xfId="7314"/>
    <cellStyle name="Total 2 7 2" xfId="7315"/>
    <cellStyle name="Total 2 7 3" xfId="8168"/>
    <cellStyle name="Total 2 7 4" xfId="8470"/>
    <cellStyle name="Total 2 7 5" xfId="8565"/>
    <cellStyle name="Total 2 7 6" xfId="26426"/>
    <cellStyle name="Total 2 7_Forecast" xfId="26427"/>
    <cellStyle name="Total 2 8" xfId="7316"/>
    <cellStyle name="Total 2 8 2" xfId="7317"/>
    <cellStyle name="Total 2 8 3" xfId="26428"/>
    <cellStyle name="Total 2 8_Forecast" xfId="26429"/>
    <cellStyle name="Total 2 9" xfId="7318"/>
    <cellStyle name="Total 2 9 2" xfId="7319"/>
    <cellStyle name="Total 2 9 3" xfId="26430"/>
    <cellStyle name="Total 2 9_Forecast" xfId="26431"/>
    <cellStyle name="Total 2_Forecast" xfId="26432"/>
    <cellStyle name="Total 20" xfId="20997"/>
    <cellStyle name="Total 200" xfId="20998"/>
    <cellStyle name="Total 201" xfId="21854"/>
    <cellStyle name="Total 202" xfId="21721"/>
    <cellStyle name="Total 203" xfId="21964"/>
    <cellStyle name="Total 204" xfId="21904"/>
    <cellStyle name="Total 205" xfId="27881"/>
    <cellStyle name="Total 21" xfId="20999"/>
    <cellStyle name="Total 22" xfId="21000"/>
    <cellStyle name="Total 23" xfId="21001"/>
    <cellStyle name="Total 24" xfId="21002"/>
    <cellStyle name="Total 25" xfId="21003"/>
    <cellStyle name="Total 26" xfId="21004"/>
    <cellStyle name="Total 27" xfId="21005"/>
    <cellStyle name="Total 28" xfId="21006"/>
    <cellStyle name="Total 29" xfId="21007"/>
    <cellStyle name="Total 3" xfId="7320"/>
    <cellStyle name="Total 3 10" xfId="7321"/>
    <cellStyle name="Total 3 10 2" xfId="7322"/>
    <cellStyle name="Total 3 10 3" xfId="26433"/>
    <cellStyle name="Total 3 10_Forecast" xfId="26434"/>
    <cellStyle name="Total 3 11" xfId="7323"/>
    <cellStyle name="Total 3 11 2" xfId="7324"/>
    <cellStyle name="Total 3 11 3" xfId="26435"/>
    <cellStyle name="Total 3 11_Forecast" xfId="26436"/>
    <cellStyle name="Total 3 12" xfId="7325"/>
    <cellStyle name="Total 3 12 2" xfId="7326"/>
    <cellStyle name="Total 3 12 3" xfId="26437"/>
    <cellStyle name="Total 3 12_Forecast" xfId="26438"/>
    <cellStyle name="Total 3 13" xfId="7327"/>
    <cellStyle name="Total 3 13 2" xfId="7328"/>
    <cellStyle name="Total 3 13 3" xfId="26439"/>
    <cellStyle name="Total 3 13_Forecast" xfId="26440"/>
    <cellStyle name="Total 3 14" xfId="7329"/>
    <cellStyle name="Total 3 14 2" xfId="7330"/>
    <cellStyle name="Total 3 14 3" xfId="26441"/>
    <cellStyle name="Total 3 14_Forecast" xfId="26442"/>
    <cellStyle name="Total 3 15" xfId="7331"/>
    <cellStyle name="Total 3 15 2" xfId="7332"/>
    <cellStyle name="Total 3 15 3" xfId="26443"/>
    <cellStyle name="Total 3 15_Forecast" xfId="26444"/>
    <cellStyle name="Total 3 16" xfId="7333"/>
    <cellStyle name="Total 3 16 2" xfId="7334"/>
    <cellStyle name="Total 3 16 3" xfId="26445"/>
    <cellStyle name="Total 3 16_Forecast" xfId="26446"/>
    <cellStyle name="Total 3 17" xfId="7335"/>
    <cellStyle name="Total 3 17 2" xfId="7336"/>
    <cellStyle name="Total 3 17 3" xfId="26447"/>
    <cellStyle name="Total 3 17_Forecast" xfId="26448"/>
    <cellStyle name="Total 3 18" xfId="7337"/>
    <cellStyle name="Total 3 18 2" xfId="7338"/>
    <cellStyle name="Total 3 18 3" xfId="26449"/>
    <cellStyle name="Total 3 18_Forecast" xfId="26450"/>
    <cellStyle name="Total 3 19" xfId="7339"/>
    <cellStyle name="Total 3 19 2" xfId="7340"/>
    <cellStyle name="Total 3 19 3" xfId="26451"/>
    <cellStyle name="Total 3 19_Forecast" xfId="26452"/>
    <cellStyle name="Total 3 2" xfId="7341"/>
    <cellStyle name="Total 3 2 2" xfId="7342"/>
    <cellStyle name="Total 3 2 3" xfId="8170"/>
    <cellStyle name="Total 3 2 4" xfId="8472"/>
    <cellStyle name="Total 3 2 5" xfId="8567"/>
    <cellStyle name="Total 3 2 6" xfId="26453"/>
    <cellStyle name="Total 3 2_Forecast" xfId="26454"/>
    <cellStyle name="Total 3 20" xfId="7343"/>
    <cellStyle name="Total 3 20 2" xfId="7344"/>
    <cellStyle name="Total 3 20 3" xfId="26455"/>
    <cellStyle name="Total 3 20_Forecast" xfId="26456"/>
    <cellStyle name="Total 3 21" xfId="7345"/>
    <cellStyle name="Total 3 21 2" xfId="7346"/>
    <cellStyle name="Total 3 21 3" xfId="26457"/>
    <cellStyle name="Total 3 21_Forecast" xfId="26458"/>
    <cellStyle name="Total 3 22" xfId="7347"/>
    <cellStyle name="Total 3 22 2" xfId="7348"/>
    <cellStyle name="Total 3 22 3" xfId="26459"/>
    <cellStyle name="Total 3 22_Forecast" xfId="26460"/>
    <cellStyle name="Total 3 23" xfId="7349"/>
    <cellStyle name="Total 3 23 2" xfId="7350"/>
    <cellStyle name="Total 3 23 3" xfId="26461"/>
    <cellStyle name="Total 3 23_Forecast" xfId="26462"/>
    <cellStyle name="Total 3 24" xfId="7351"/>
    <cellStyle name="Total 3 25" xfId="8169"/>
    <cellStyle name="Total 3 26" xfId="8471"/>
    <cellStyle name="Total 3 27" xfId="8566"/>
    <cellStyle name="Total 3 28" xfId="21008"/>
    <cellStyle name="Total 3 29" xfId="27882"/>
    <cellStyle name="Total 3 3" xfId="7352"/>
    <cellStyle name="Total 3 3 2" xfId="7353"/>
    <cellStyle name="Total 3 3 3" xfId="8171"/>
    <cellStyle name="Total 3 3 4" xfId="8473"/>
    <cellStyle name="Total 3 3 5" xfId="8568"/>
    <cellStyle name="Total 3 3 6" xfId="26463"/>
    <cellStyle name="Total 3 3_Forecast" xfId="26464"/>
    <cellStyle name="Total 3 4" xfId="7354"/>
    <cellStyle name="Total 3 4 2" xfId="7355"/>
    <cellStyle name="Total 3 4 3" xfId="8172"/>
    <cellStyle name="Total 3 4 4" xfId="8474"/>
    <cellStyle name="Total 3 4 5" xfId="8569"/>
    <cellStyle name="Total 3 4 6" xfId="26465"/>
    <cellStyle name="Total 3 4_Forecast" xfId="26466"/>
    <cellStyle name="Total 3 5" xfId="7356"/>
    <cellStyle name="Total 3 5 2" xfId="7357"/>
    <cellStyle name="Total 3 5 3" xfId="8173"/>
    <cellStyle name="Total 3 5 4" xfId="8475"/>
    <cellStyle name="Total 3 5 5" xfId="8570"/>
    <cellStyle name="Total 3 5 6" xfId="26467"/>
    <cellStyle name="Total 3 5_Forecast" xfId="26468"/>
    <cellStyle name="Total 3 6" xfId="7358"/>
    <cellStyle name="Total 3 6 2" xfId="7359"/>
    <cellStyle name="Total 3 6 3" xfId="8174"/>
    <cellStyle name="Total 3 6 4" xfId="8476"/>
    <cellStyle name="Total 3 6 5" xfId="8571"/>
    <cellStyle name="Total 3 6 6" xfId="26469"/>
    <cellStyle name="Total 3 6_Forecast" xfId="26470"/>
    <cellStyle name="Total 3 7" xfId="7360"/>
    <cellStyle name="Total 3 7 2" xfId="7361"/>
    <cellStyle name="Total 3 7 3" xfId="8175"/>
    <cellStyle name="Total 3 7 4" xfId="8477"/>
    <cellStyle name="Total 3 7 5" xfId="8572"/>
    <cellStyle name="Total 3 7 6" xfId="26471"/>
    <cellStyle name="Total 3 7_Forecast" xfId="26472"/>
    <cellStyle name="Total 3 8" xfId="7362"/>
    <cellStyle name="Total 3 8 2" xfId="7363"/>
    <cellStyle name="Total 3 8 3" xfId="26473"/>
    <cellStyle name="Total 3 8_Forecast" xfId="26474"/>
    <cellStyle name="Total 3 9" xfId="7364"/>
    <cellStyle name="Total 3 9 2" xfId="7365"/>
    <cellStyle name="Total 3 9 3" xfId="26475"/>
    <cellStyle name="Total 3 9_Forecast" xfId="26476"/>
    <cellStyle name="Total 3_Forecast" xfId="26477"/>
    <cellStyle name="Total 30" xfId="21009"/>
    <cellStyle name="Total 31" xfId="21010"/>
    <cellStyle name="Total 32" xfId="21011"/>
    <cellStyle name="Total 33" xfId="21012"/>
    <cellStyle name="Total 34" xfId="21013"/>
    <cellStyle name="Total 35" xfId="21014"/>
    <cellStyle name="Total 36" xfId="21015"/>
    <cellStyle name="Total 37" xfId="21016"/>
    <cellStyle name="Total 38" xfId="21017"/>
    <cellStyle name="Total 39" xfId="21018"/>
    <cellStyle name="Total 4" xfId="7366"/>
    <cellStyle name="Total 4 2" xfId="7367"/>
    <cellStyle name="Total 4 2 2" xfId="7368"/>
    <cellStyle name="Total 4 2 3" xfId="26478"/>
    <cellStyle name="Total 4 2_Forecast" xfId="26479"/>
    <cellStyle name="Total 4 3" xfId="7369"/>
    <cellStyle name="Total 4 3 2" xfId="7370"/>
    <cellStyle name="Total 4 3 3" xfId="26480"/>
    <cellStyle name="Total 4 3_Forecast" xfId="26481"/>
    <cellStyle name="Total 4 4" xfId="7371"/>
    <cellStyle name="Total 4 4 2" xfId="7372"/>
    <cellStyle name="Total 4 4 3" xfId="26482"/>
    <cellStyle name="Total 4 4_Forecast" xfId="26483"/>
    <cellStyle name="Total 4 5" xfId="7373"/>
    <cellStyle name="Total 4 6" xfId="8176"/>
    <cellStyle name="Total 4 7" xfId="8478"/>
    <cellStyle name="Total 4 8" xfId="8573"/>
    <cellStyle name="Total 4 9" xfId="21019"/>
    <cellStyle name="Total 4_Forecast" xfId="26484"/>
    <cellStyle name="Total 40" xfId="21020"/>
    <cellStyle name="Total 41" xfId="21021"/>
    <cellStyle name="Total 42" xfId="21022"/>
    <cellStyle name="Total 43" xfId="21023"/>
    <cellStyle name="Total 44" xfId="21024"/>
    <cellStyle name="Total 45" xfId="21025"/>
    <cellStyle name="Total 46" xfId="21026"/>
    <cellStyle name="Total 47" xfId="21027"/>
    <cellStyle name="Total 48" xfId="21028"/>
    <cellStyle name="Total 49" xfId="21029"/>
    <cellStyle name="Total 5" xfId="7374"/>
    <cellStyle name="Total 5 2" xfId="7375"/>
    <cellStyle name="Total 5 2 2" xfId="7376"/>
    <cellStyle name="Total 5 2 3" xfId="26485"/>
    <cellStyle name="Total 5 2_Forecast" xfId="26486"/>
    <cellStyle name="Total 5 3" xfId="7377"/>
    <cellStyle name="Total 5 3 2" xfId="7378"/>
    <cellStyle name="Total 5 3 3" xfId="26487"/>
    <cellStyle name="Total 5 3_Forecast" xfId="26488"/>
    <cellStyle name="Total 5 4" xfId="7379"/>
    <cellStyle name="Total 5 4 2" xfId="7380"/>
    <cellStyle name="Total 5 4 3" xfId="26489"/>
    <cellStyle name="Total 5 4_Forecast" xfId="26490"/>
    <cellStyle name="Total 5 5" xfId="7381"/>
    <cellStyle name="Total 5 6" xfId="8177"/>
    <cellStyle name="Total 5 7" xfId="8479"/>
    <cellStyle name="Total 5 8" xfId="8574"/>
    <cellStyle name="Total 5 9" xfId="21030"/>
    <cellStyle name="Total 5_Forecast" xfId="26491"/>
    <cellStyle name="Total 50" xfId="21031"/>
    <cellStyle name="Total 51" xfId="21032"/>
    <cellStyle name="Total 52" xfId="21033"/>
    <cellStyle name="Total 53" xfId="21034"/>
    <cellStyle name="Total 54" xfId="21035"/>
    <cellStyle name="Total 55" xfId="21036"/>
    <cellStyle name="Total 56" xfId="21037"/>
    <cellStyle name="Total 57" xfId="21038"/>
    <cellStyle name="Total 58" xfId="21039"/>
    <cellStyle name="Total 59" xfId="21040"/>
    <cellStyle name="Total 6" xfId="7382"/>
    <cellStyle name="Total 6 2" xfId="7383"/>
    <cellStyle name="Total 6 2 2" xfId="7384"/>
    <cellStyle name="Total 6 2 3" xfId="26492"/>
    <cellStyle name="Total 6 2_Forecast" xfId="26493"/>
    <cellStyle name="Total 6 3" xfId="7385"/>
    <cellStyle name="Total 6 3 2" xfId="7386"/>
    <cellStyle name="Total 6 3 3" xfId="26494"/>
    <cellStyle name="Total 6 3_Forecast" xfId="26495"/>
    <cellStyle name="Total 6 4" xfId="7387"/>
    <cellStyle name="Total 6 4 2" xfId="7388"/>
    <cellStyle name="Total 6 4 3" xfId="26496"/>
    <cellStyle name="Total 6 4_Forecast" xfId="26497"/>
    <cellStyle name="Total 6 5" xfId="7389"/>
    <cellStyle name="Total 6 6" xfId="8178"/>
    <cellStyle name="Total 6 7" xfId="8480"/>
    <cellStyle name="Total 6 8" xfId="8575"/>
    <cellStyle name="Total 6 9" xfId="21041"/>
    <cellStyle name="Total 6_Forecast" xfId="26498"/>
    <cellStyle name="Total 60" xfId="21042"/>
    <cellStyle name="Total 61" xfId="21043"/>
    <cellStyle name="Total 62" xfId="21044"/>
    <cellStyle name="Total 63" xfId="21045"/>
    <cellStyle name="Total 64" xfId="21046"/>
    <cellStyle name="Total 65" xfId="21047"/>
    <cellStyle name="Total 66" xfId="21048"/>
    <cellStyle name="Total 67" xfId="21049"/>
    <cellStyle name="Total 68" xfId="21050"/>
    <cellStyle name="Total 69" xfId="21051"/>
    <cellStyle name="Total 7" xfId="7390"/>
    <cellStyle name="Total 7 2" xfId="7391"/>
    <cellStyle name="Total 7 2 2" xfId="7392"/>
    <cellStyle name="Total 7 2 3" xfId="26499"/>
    <cellStyle name="Total 7 2_Forecast" xfId="26500"/>
    <cellStyle name="Total 7 3" xfId="7393"/>
    <cellStyle name="Total 7 3 2" xfId="7394"/>
    <cellStyle name="Total 7 3 3" xfId="26501"/>
    <cellStyle name="Total 7 3_Forecast" xfId="26502"/>
    <cellStyle name="Total 7 4" xfId="7395"/>
    <cellStyle name="Total 7 4 2" xfId="7396"/>
    <cellStyle name="Total 7 4 3" xfId="26503"/>
    <cellStyle name="Total 7 4_Forecast" xfId="26504"/>
    <cellStyle name="Total 7 5" xfId="7397"/>
    <cellStyle name="Total 7 6" xfId="8179"/>
    <cellStyle name="Total 7 7" xfId="8481"/>
    <cellStyle name="Total 7 8" xfId="8576"/>
    <cellStyle name="Total 7 9" xfId="21052"/>
    <cellStyle name="Total 7_Forecast" xfId="26505"/>
    <cellStyle name="Total 70" xfId="21053"/>
    <cellStyle name="Total 71" xfId="21054"/>
    <cellStyle name="Total 72" xfId="21055"/>
    <cellStyle name="Total 73" xfId="21056"/>
    <cellStyle name="Total 74" xfId="21057"/>
    <cellStyle name="Total 75" xfId="21058"/>
    <cellStyle name="Total 76" xfId="21059"/>
    <cellStyle name="Total 77" xfId="21060"/>
    <cellStyle name="Total 78" xfId="21061"/>
    <cellStyle name="Total 79" xfId="21062"/>
    <cellStyle name="Total 8" xfId="7398"/>
    <cellStyle name="Total 8 2" xfId="7399"/>
    <cellStyle name="Total 8 3" xfId="8180"/>
    <cellStyle name="Total 8 4" xfId="8482"/>
    <cellStyle name="Total 8 5" xfId="8577"/>
    <cellStyle name="Total 8 6" xfId="21063"/>
    <cellStyle name="Total 8_Forecast" xfId="26506"/>
    <cellStyle name="Total 80" xfId="21064"/>
    <cellStyle name="Total 81" xfId="21065"/>
    <cellStyle name="Total 82" xfId="21066"/>
    <cellStyle name="Total 83" xfId="21067"/>
    <cellStyle name="Total 84" xfId="21068"/>
    <cellStyle name="Total 85" xfId="21069"/>
    <cellStyle name="Total 86" xfId="21070"/>
    <cellStyle name="Total 87" xfId="21071"/>
    <cellStyle name="Total 88" xfId="21072"/>
    <cellStyle name="Total 89" xfId="21073"/>
    <cellStyle name="Total 9" xfId="7400"/>
    <cellStyle name="Total 9 2" xfId="8181"/>
    <cellStyle name="Total 9 3" xfId="8483"/>
    <cellStyle name="Total 9 4" xfId="8578"/>
    <cellStyle name="Total 9 5" xfId="21074"/>
    <cellStyle name="Total 9_Forecast" xfId="26507"/>
    <cellStyle name="Total 90" xfId="21075"/>
    <cellStyle name="Total 91" xfId="21076"/>
    <cellStyle name="Total 92" xfId="21077"/>
    <cellStyle name="Total 93" xfId="21078"/>
    <cellStyle name="Total 94" xfId="21079"/>
    <cellStyle name="Total 95" xfId="21080"/>
    <cellStyle name="Total 96" xfId="21081"/>
    <cellStyle name="Total 97" xfId="21082"/>
    <cellStyle name="Total 98" xfId="21083"/>
    <cellStyle name="Total 99" xfId="21084"/>
    <cellStyle name="Warning Text" xfId="7401" builtinId="11" customBuiltin="1"/>
    <cellStyle name="Warning Text 10" xfId="12178"/>
    <cellStyle name="Warning Text 10 2" xfId="21085"/>
    <cellStyle name="Warning Text 10_Note Calc" xfId="27883"/>
    <cellStyle name="Warning Text 100" xfId="21086"/>
    <cellStyle name="Warning Text 101" xfId="21087"/>
    <cellStyle name="Warning Text 102" xfId="21088"/>
    <cellStyle name="Warning Text 103" xfId="21089"/>
    <cellStyle name="Warning Text 104" xfId="21090"/>
    <cellStyle name="Warning Text 105" xfId="21091"/>
    <cellStyle name="Warning Text 106" xfId="21092"/>
    <cellStyle name="Warning Text 107" xfId="21093"/>
    <cellStyle name="Warning Text 108" xfId="21094"/>
    <cellStyle name="Warning Text 109" xfId="21095"/>
    <cellStyle name="Warning Text 11" xfId="12230"/>
    <cellStyle name="Warning Text 110" xfId="21096"/>
    <cellStyle name="Warning Text 111" xfId="21097"/>
    <cellStyle name="Warning Text 112" xfId="21098"/>
    <cellStyle name="Warning Text 113" xfId="21099"/>
    <cellStyle name="Warning Text 114" xfId="21100"/>
    <cellStyle name="Warning Text 115" xfId="21101"/>
    <cellStyle name="Warning Text 116" xfId="21102"/>
    <cellStyle name="Warning Text 117" xfId="21103"/>
    <cellStyle name="Warning Text 118" xfId="21104"/>
    <cellStyle name="Warning Text 119" xfId="21105"/>
    <cellStyle name="Warning Text 12" xfId="21106"/>
    <cellStyle name="Warning Text 120" xfId="21107"/>
    <cellStyle name="Warning Text 121" xfId="21108"/>
    <cellStyle name="Warning Text 122" xfId="21109"/>
    <cellStyle name="Warning Text 123" xfId="21110"/>
    <cellStyle name="Warning Text 124" xfId="21111"/>
    <cellStyle name="Warning Text 125" xfId="21112"/>
    <cellStyle name="Warning Text 126" xfId="21113"/>
    <cellStyle name="Warning Text 127" xfId="21114"/>
    <cellStyle name="Warning Text 128" xfId="21115"/>
    <cellStyle name="Warning Text 129" xfId="21116"/>
    <cellStyle name="Warning Text 13" xfId="21117"/>
    <cellStyle name="Warning Text 130" xfId="21118"/>
    <cellStyle name="Warning Text 131" xfId="21119"/>
    <cellStyle name="Warning Text 132" xfId="21120"/>
    <cellStyle name="Warning Text 133" xfId="21121"/>
    <cellStyle name="Warning Text 134" xfId="21122"/>
    <cellStyle name="Warning Text 135" xfId="21123"/>
    <cellStyle name="Warning Text 136" xfId="21124"/>
    <cellStyle name="Warning Text 137" xfId="21125"/>
    <cellStyle name="Warning Text 138" xfId="21126"/>
    <cellStyle name="Warning Text 139" xfId="21127"/>
    <cellStyle name="Warning Text 14" xfId="21128"/>
    <cellStyle name="Warning Text 140" xfId="21129"/>
    <cellStyle name="Warning Text 141" xfId="21130"/>
    <cellStyle name="Warning Text 142" xfId="21131"/>
    <cellStyle name="Warning Text 143" xfId="21132"/>
    <cellStyle name="Warning Text 144" xfId="21133"/>
    <cellStyle name="Warning Text 145" xfId="21134"/>
    <cellStyle name="Warning Text 146" xfId="21135"/>
    <cellStyle name="Warning Text 147" xfId="21136"/>
    <cellStyle name="Warning Text 148" xfId="21137"/>
    <cellStyle name="Warning Text 149" xfId="21138"/>
    <cellStyle name="Warning Text 15" xfId="21139"/>
    <cellStyle name="Warning Text 150" xfId="21140"/>
    <cellStyle name="Warning Text 151" xfId="21141"/>
    <cellStyle name="Warning Text 152" xfId="21142"/>
    <cellStyle name="Warning Text 153" xfId="21143"/>
    <cellStyle name="Warning Text 154" xfId="21144"/>
    <cellStyle name="Warning Text 155" xfId="21145"/>
    <cellStyle name="Warning Text 156" xfId="21146"/>
    <cellStyle name="Warning Text 157" xfId="21147"/>
    <cellStyle name="Warning Text 158" xfId="21148"/>
    <cellStyle name="Warning Text 159" xfId="21149"/>
    <cellStyle name="Warning Text 16" xfId="21150"/>
    <cellStyle name="Warning Text 160" xfId="21151"/>
    <cellStyle name="Warning Text 161" xfId="21152"/>
    <cellStyle name="Warning Text 162" xfId="21153"/>
    <cellStyle name="Warning Text 163" xfId="21154"/>
    <cellStyle name="Warning Text 163 2" xfId="21682"/>
    <cellStyle name="Warning Text 163 3" xfId="21683"/>
    <cellStyle name="Warning Text 163_Note Calc" xfId="27884"/>
    <cellStyle name="Warning Text 164" xfId="21155"/>
    <cellStyle name="Warning Text 165" xfId="21156"/>
    <cellStyle name="Warning Text 166" xfId="21157"/>
    <cellStyle name="Warning Text 167" xfId="21158"/>
    <cellStyle name="Warning Text 168" xfId="21159"/>
    <cellStyle name="Warning Text 169" xfId="21160"/>
    <cellStyle name="Warning Text 17" xfId="21161"/>
    <cellStyle name="Warning Text 170" xfId="21162"/>
    <cellStyle name="Warning Text 171" xfId="21163"/>
    <cellStyle name="Warning Text 172" xfId="21164"/>
    <cellStyle name="Warning Text 173" xfId="21165"/>
    <cellStyle name="Warning Text 174" xfId="21166"/>
    <cellStyle name="Warning Text 175" xfId="21167"/>
    <cellStyle name="Warning Text 176" xfId="21168"/>
    <cellStyle name="Warning Text 177" xfId="21169"/>
    <cellStyle name="Warning Text 178" xfId="21170"/>
    <cellStyle name="Warning Text 179" xfId="21171"/>
    <cellStyle name="Warning Text 18" xfId="21172"/>
    <cellStyle name="Warning Text 180" xfId="21173"/>
    <cellStyle name="Warning Text 181" xfId="21174"/>
    <cellStyle name="Warning Text 182" xfId="21175"/>
    <cellStyle name="Warning Text 183" xfId="21176"/>
    <cellStyle name="Warning Text 184" xfId="21177"/>
    <cellStyle name="Warning Text 185" xfId="21178"/>
    <cellStyle name="Warning Text 186" xfId="21179"/>
    <cellStyle name="Warning Text 187" xfId="21180"/>
    <cellStyle name="Warning Text 188" xfId="21181"/>
    <cellStyle name="Warning Text 189" xfId="21182"/>
    <cellStyle name="Warning Text 19" xfId="21183"/>
    <cellStyle name="Warning Text 190" xfId="21184"/>
    <cellStyle name="Warning Text 191" xfId="21185"/>
    <cellStyle name="Warning Text 192" xfId="21186"/>
    <cellStyle name="Warning Text 193" xfId="21187"/>
    <cellStyle name="Warning Text 194" xfId="21188"/>
    <cellStyle name="Warning Text 195" xfId="21189"/>
    <cellStyle name="Warning Text 196" xfId="21190"/>
    <cellStyle name="Warning Text 197" xfId="21191"/>
    <cellStyle name="Warning Text 198" xfId="21192"/>
    <cellStyle name="Warning Text 199" xfId="21193"/>
    <cellStyle name="Warning Text 2" xfId="7402"/>
    <cellStyle name="Warning Text 2 10" xfId="12179"/>
    <cellStyle name="Warning Text 2 11" xfId="21194"/>
    <cellStyle name="Warning Text 2 12" xfId="27885"/>
    <cellStyle name="Warning Text 2 2" xfId="7403"/>
    <cellStyle name="Warning Text 2 2 2" xfId="8183"/>
    <cellStyle name="Warning Text 2 2 3" xfId="8485"/>
    <cellStyle name="Warning Text 2 2 4" xfId="8580"/>
    <cellStyle name="Warning Text 2 2 5" xfId="21684"/>
    <cellStyle name="Warning Text 2 2_Note Calc" xfId="27886"/>
    <cellStyle name="Warning Text 2 3" xfId="8182"/>
    <cellStyle name="Warning Text 2 3 2" xfId="21685"/>
    <cellStyle name="Warning Text 2 3_Note Calc" xfId="27887"/>
    <cellStyle name="Warning Text 2 4" xfId="8184"/>
    <cellStyle name="Warning Text 2 4 2" xfId="21686"/>
    <cellStyle name="Warning Text 2 4_Note Calc" xfId="27888"/>
    <cellStyle name="Warning Text 2 5" xfId="8185"/>
    <cellStyle name="Warning Text 2 6" xfId="8186"/>
    <cellStyle name="Warning Text 2 7" xfId="8187"/>
    <cellStyle name="Warning Text 2 8" xfId="8484"/>
    <cellStyle name="Warning Text 2 9" xfId="8579"/>
    <cellStyle name="Warning Text 2_Forecast" xfId="26508"/>
    <cellStyle name="Warning Text 20" xfId="21195"/>
    <cellStyle name="Warning Text 200" xfId="21196"/>
    <cellStyle name="Warning Text 201" xfId="21855"/>
    <cellStyle name="Warning Text 202" xfId="21718"/>
    <cellStyle name="Warning Text 203" xfId="21961"/>
    <cellStyle name="Warning Text 204" xfId="21907"/>
    <cellStyle name="Warning Text 205" xfId="27889"/>
    <cellStyle name="Warning Text 21" xfId="21197"/>
    <cellStyle name="Warning Text 22" xfId="21198"/>
    <cellStyle name="Warning Text 23" xfId="21199"/>
    <cellStyle name="Warning Text 24" xfId="21200"/>
    <cellStyle name="Warning Text 25" xfId="21201"/>
    <cellStyle name="Warning Text 26" xfId="21202"/>
    <cellStyle name="Warning Text 27" xfId="21203"/>
    <cellStyle name="Warning Text 28" xfId="21204"/>
    <cellStyle name="Warning Text 29" xfId="21205"/>
    <cellStyle name="Warning Text 3" xfId="7404"/>
    <cellStyle name="Warning Text 3 10" xfId="21206"/>
    <cellStyle name="Warning Text 3 11" xfId="27890"/>
    <cellStyle name="Warning Text 3 2" xfId="8188"/>
    <cellStyle name="Warning Text 3 3" xfId="8190"/>
    <cellStyle name="Warning Text 3 4" xfId="8191"/>
    <cellStyle name="Warning Text 3 5" xfId="8192"/>
    <cellStyle name="Warning Text 3 6" xfId="8193"/>
    <cellStyle name="Warning Text 3 7" xfId="8194"/>
    <cellStyle name="Warning Text 3 8" xfId="8488"/>
    <cellStyle name="Warning Text 3 9" xfId="8581"/>
    <cellStyle name="Warning Text 3_Forecast" xfId="26509"/>
    <cellStyle name="Warning Text 30" xfId="21207"/>
    <cellStyle name="Warning Text 31" xfId="21208"/>
    <cellStyle name="Warning Text 32" xfId="21209"/>
    <cellStyle name="Warning Text 33" xfId="21210"/>
    <cellStyle name="Warning Text 34" xfId="21211"/>
    <cellStyle name="Warning Text 35" xfId="21212"/>
    <cellStyle name="Warning Text 36" xfId="21213"/>
    <cellStyle name="Warning Text 37" xfId="21214"/>
    <cellStyle name="Warning Text 38" xfId="21215"/>
    <cellStyle name="Warning Text 39" xfId="21216"/>
    <cellStyle name="Warning Text 4" xfId="7407"/>
    <cellStyle name="Warning Text 4 2" xfId="21217"/>
    <cellStyle name="Warning Text 4_Note Calc" xfId="27891"/>
    <cellStyle name="Warning Text 40" xfId="21218"/>
    <cellStyle name="Warning Text 41" xfId="21219"/>
    <cellStyle name="Warning Text 42" xfId="21220"/>
    <cellStyle name="Warning Text 43" xfId="21221"/>
    <cellStyle name="Warning Text 44" xfId="21222"/>
    <cellStyle name="Warning Text 45" xfId="21223"/>
    <cellStyle name="Warning Text 46" xfId="21224"/>
    <cellStyle name="Warning Text 47" xfId="21225"/>
    <cellStyle name="Warning Text 48" xfId="21226"/>
    <cellStyle name="Warning Text 49" xfId="21227"/>
    <cellStyle name="Warning Text 5" xfId="8196"/>
    <cellStyle name="Warning Text 5 2" xfId="21228"/>
    <cellStyle name="Warning Text 5_Note Calc" xfId="27892"/>
    <cellStyle name="Warning Text 50" xfId="21229"/>
    <cellStyle name="Warning Text 51" xfId="21230"/>
    <cellStyle name="Warning Text 52" xfId="21231"/>
    <cellStyle name="Warning Text 53" xfId="21232"/>
    <cellStyle name="Warning Text 54" xfId="21233"/>
    <cellStyle name="Warning Text 55" xfId="21234"/>
    <cellStyle name="Warning Text 56" xfId="21235"/>
    <cellStyle name="Warning Text 57" xfId="21236"/>
    <cellStyle name="Warning Text 58" xfId="21237"/>
    <cellStyle name="Warning Text 59" xfId="21238"/>
    <cellStyle name="Warning Text 6" xfId="8197"/>
    <cellStyle name="Warning Text 6 2" xfId="21239"/>
    <cellStyle name="Warning Text 6_Note Calc" xfId="27893"/>
    <cellStyle name="Warning Text 60" xfId="21240"/>
    <cellStyle name="Warning Text 61" xfId="21241"/>
    <cellStyle name="Warning Text 62" xfId="21242"/>
    <cellStyle name="Warning Text 63" xfId="21243"/>
    <cellStyle name="Warning Text 64" xfId="21244"/>
    <cellStyle name="Warning Text 65" xfId="21245"/>
    <cellStyle name="Warning Text 66" xfId="21246"/>
    <cellStyle name="Warning Text 67" xfId="21247"/>
    <cellStyle name="Warning Text 68" xfId="21248"/>
    <cellStyle name="Warning Text 69" xfId="21249"/>
    <cellStyle name="Warning Text 7" xfId="8198"/>
    <cellStyle name="Warning Text 7 2" xfId="21250"/>
    <cellStyle name="Warning Text 7_Note Calc" xfId="27894"/>
    <cellStyle name="Warning Text 70" xfId="21251"/>
    <cellStyle name="Warning Text 71" xfId="21252"/>
    <cellStyle name="Warning Text 72" xfId="21253"/>
    <cellStyle name="Warning Text 73" xfId="21254"/>
    <cellStyle name="Warning Text 74" xfId="21255"/>
    <cellStyle name="Warning Text 75" xfId="21256"/>
    <cellStyle name="Warning Text 76" xfId="21257"/>
    <cellStyle name="Warning Text 77" xfId="21258"/>
    <cellStyle name="Warning Text 78" xfId="21259"/>
    <cellStyle name="Warning Text 79" xfId="21260"/>
    <cellStyle name="Warning Text 8" xfId="8199"/>
    <cellStyle name="Warning Text 8 2" xfId="21261"/>
    <cellStyle name="Warning Text 8_Note Calc" xfId="27895"/>
    <cellStyle name="Warning Text 80" xfId="21262"/>
    <cellStyle name="Warning Text 81" xfId="21263"/>
    <cellStyle name="Warning Text 82" xfId="21264"/>
    <cellStyle name="Warning Text 83" xfId="21265"/>
    <cellStyle name="Warning Text 84" xfId="21266"/>
    <cellStyle name="Warning Text 85" xfId="21267"/>
    <cellStyle name="Warning Text 86" xfId="21268"/>
    <cellStyle name="Warning Text 87" xfId="21269"/>
    <cellStyle name="Warning Text 88" xfId="21270"/>
    <cellStyle name="Warning Text 89" xfId="21271"/>
    <cellStyle name="Warning Text 9" xfId="8200"/>
    <cellStyle name="Warning Text 9 2" xfId="21272"/>
    <cellStyle name="Warning Text 9_Note Calc" xfId="27896"/>
    <cellStyle name="Warning Text 90" xfId="21273"/>
    <cellStyle name="Warning Text 91" xfId="21274"/>
    <cellStyle name="Warning Text 92" xfId="21275"/>
    <cellStyle name="Warning Text 93" xfId="21276"/>
    <cellStyle name="Warning Text 94" xfId="21277"/>
    <cellStyle name="Warning Text 95" xfId="21278"/>
    <cellStyle name="Warning Text 96" xfId="21279"/>
    <cellStyle name="Warning Text 97" xfId="21280"/>
    <cellStyle name="Warning Text 98" xfId="21281"/>
    <cellStyle name="Warning Text 99" xfId="21282"/>
  </cellStyles>
  <dxfs count="45"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9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FF99"/>
        </patternFill>
      </fill>
    </dxf>
    <dxf>
      <fill>
        <patternFill>
          <bgColor theme="9" tint="-0.24994659260841701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2" defaultTableStyle="TableStyleMedium9" defaultPivotStyle="PivotStyleLight16">
    <tableStyle name="PivotStyleLight16 2" table="0" count="11">
      <tableStyleElement type="headerRow" dxfId="44"/>
      <tableStyleElement type="totalRow" dxfId="43"/>
      <tableStyleElement type="firstRowStripe" dxfId="42"/>
      <tableStyleElement type="firstColumnStripe" dxfId="41"/>
      <tableStyleElement type="firstSubtotalColumn" dxfId="40"/>
      <tableStyleElement type="firstSubtotalRow" dxfId="39"/>
      <tableStyleElement type="secondSubtotalRow" dxfId="38"/>
      <tableStyleElement type="firstRowSubheading" dxfId="37"/>
      <tableStyleElement type="secondRowSubheading" dxfId="36"/>
      <tableStyleElement type="pageFieldLabels" dxfId="35"/>
      <tableStyleElement type="pageFieldValues" dxfId="34"/>
    </tableStyle>
    <tableStyle name="PivotStyleLight16 3" table="0" count="11">
      <tableStyleElement type="headerRow" dxfId="33"/>
      <tableStyleElement type="totalRow" dxfId="32"/>
      <tableStyleElement type="firstRowStripe" dxfId="31"/>
      <tableStyleElement type="firstColumnStripe" dxfId="30"/>
      <tableStyleElement type="firstSubtotalColumn" dxfId="29"/>
      <tableStyleElement type="firstSubtotalRow" dxfId="28"/>
      <tableStyleElement type="secondSubtotalRow" dxfId="27"/>
      <tableStyleElement type="firstRowSubheading" dxfId="26"/>
      <tableStyleElement type="secondRowSubheading" dxfId="25"/>
      <tableStyleElement type="pageFieldLabels" dxfId="24"/>
      <tableStyleElement type="pageFieldValues" dxfId="23"/>
    </tableStyle>
  </tableStyles>
  <colors>
    <mruColors>
      <color rgb="FF58D304"/>
      <color rgb="FF99CCFF"/>
      <color rgb="FF00FF00"/>
      <color rgb="FFCCFFCC"/>
      <color rgb="FFC2D69A"/>
      <color rgb="FFCCFFFF"/>
      <color rgb="FF00FFFF"/>
      <color rgb="FFCC9900"/>
      <color rgb="FFE46D0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 sz="1400"/>
              <a:t>General Fund Ending Cash Balance</a:t>
            </a:r>
          </a:p>
        </c:rich>
      </c:tx>
      <c:layout>
        <c:manualLayout>
          <c:xMode val="edge"/>
          <c:yMode val="edge"/>
          <c:x val="0.40481465453547527"/>
          <c:y val="2.040557231573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81602668299171"/>
          <c:y val="0.13038292097565735"/>
          <c:w val="0.86239418631652276"/>
          <c:h val="0.740800672510970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Graphs!$B$38</c:f>
              <c:strCache>
                <c:ptCount val="1"/>
                <c:pt idx="0">
                  <c:v>30 Day Cash Ratio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Graphs!$C$37:$J$37</c:f>
              <c:strCache>
                <c:ptCount val="8"/>
                <c:pt idx="0">
                  <c:v>Act 19</c:v>
                </c:pt>
                <c:pt idx="1">
                  <c:v>Act 20</c:v>
                </c:pt>
                <c:pt idx="2">
                  <c:v>Act 21</c:v>
                </c:pt>
                <c:pt idx="3">
                  <c:v>Est 22</c:v>
                </c:pt>
                <c:pt idx="4">
                  <c:v>Est 23</c:v>
                </c:pt>
                <c:pt idx="5">
                  <c:v>Est 24</c:v>
                </c:pt>
                <c:pt idx="6">
                  <c:v>Est 25</c:v>
                </c:pt>
                <c:pt idx="7">
                  <c:v>Est 26</c:v>
                </c:pt>
              </c:strCache>
            </c:strRef>
          </c:cat>
          <c:val>
            <c:numRef>
              <c:f>Graphs!$C$38:$J$38</c:f>
              <c:numCache>
                <c:formatCode>_("$"* #,##0_);_("$"* \(#,##0\);_("$"* "-"_);_(@_)</c:formatCode>
                <c:ptCount val="8"/>
                <c:pt idx="0">
                  <c:v>2870249</c:v>
                </c:pt>
                <c:pt idx="1">
                  <c:v>2949187.3333333335</c:v>
                </c:pt>
                <c:pt idx="2">
                  <c:v>3012719.75</c:v>
                </c:pt>
                <c:pt idx="3">
                  <c:v>2828088.75</c:v>
                </c:pt>
                <c:pt idx="4">
                  <c:v>2933722.6666666665</c:v>
                </c:pt>
                <c:pt idx="5">
                  <c:v>3024703.4166666665</c:v>
                </c:pt>
                <c:pt idx="6">
                  <c:v>3082905.3333333335</c:v>
                </c:pt>
                <c:pt idx="7">
                  <c:v>3149507.9166666665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29-4E06-9231-324DC82F8A87}"/>
            </c:ext>
          </c:extLst>
        </c:ser>
        <c:ser>
          <c:idx val="2"/>
          <c:order val="1"/>
          <c:tx>
            <c:strRef>
              <c:f>Graphs!$B$39</c:f>
              <c:strCache>
                <c:ptCount val="1"/>
                <c:pt idx="0">
                  <c:v>Ending Cash Bal.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Graphs!$C$37:$J$37</c:f>
              <c:strCache>
                <c:ptCount val="8"/>
                <c:pt idx="0">
                  <c:v>Act 19</c:v>
                </c:pt>
                <c:pt idx="1">
                  <c:v>Act 20</c:v>
                </c:pt>
                <c:pt idx="2">
                  <c:v>Act 21</c:v>
                </c:pt>
                <c:pt idx="3">
                  <c:v>Est 22</c:v>
                </c:pt>
                <c:pt idx="4">
                  <c:v>Est 23</c:v>
                </c:pt>
                <c:pt idx="5">
                  <c:v>Est 24</c:v>
                </c:pt>
                <c:pt idx="6">
                  <c:v>Est 25</c:v>
                </c:pt>
                <c:pt idx="7">
                  <c:v>Est 26</c:v>
                </c:pt>
              </c:strCache>
            </c:strRef>
          </c:cat>
          <c:val>
            <c:numRef>
              <c:f>Graphs!$C$39:$J$39</c:f>
              <c:numCache>
                <c:formatCode>_("$"* #,##0_);_("$"* \(#,##0\);_("$"* "-"_);_(@_)</c:formatCode>
                <c:ptCount val="8"/>
                <c:pt idx="0">
                  <c:v>7030148</c:v>
                </c:pt>
                <c:pt idx="1">
                  <c:v>6529301</c:v>
                </c:pt>
                <c:pt idx="2">
                  <c:v>6532351</c:v>
                </c:pt>
                <c:pt idx="3">
                  <c:v>5417966</c:v>
                </c:pt>
                <c:pt idx="4">
                  <c:v>3304066</c:v>
                </c:pt>
                <c:pt idx="5">
                  <c:v>-712384</c:v>
                </c:pt>
                <c:pt idx="6">
                  <c:v>-5498098</c:v>
                </c:pt>
                <c:pt idx="7">
                  <c:v>-10950551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29-4E06-9231-324DC82F8A87}"/>
            </c:ext>
          </c:extLst>
        </c:ser>
        <c:ser>
          <c:idx val="0"/>
          <c:order val="2"/>
          <c:tx>
            <c:strRef>
              <c:f>Graphs!$B$40</c:f>
              <c:strCache>
                <c:ptCount val="1"/>
                <c:pt idx="0">
                  <c:v>Unencumbered Bal.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Graphs!$C$37:$J$37</c:f>
              <c:strCache>
                <c:ptCount val="8"/>
                <c:pt idx="0">
                  <c:v>Act 19</c:v>
                </c:pt>
                <c:pt idx="1">
                  <c:v>Act 20</c:v>
                </c:pt>
                <c:pt idx="2">
                  <c:v>Act 21</c:v>
                </c:pt>
                <c:pt idx="3">
                  <c:v>Est 22</c:v>
                </c:pt>
                <c:pt idx="4">
                  <c:v>Est 23</c:v>
                </c:pt>
                <c:pt idx="5">
                  <c:v>Est 24</c:v>
                </c:pt>
                <c:pt idx="6">
                  <c:v>Est 25</c:v>
                </c:pt>
                <c:pt idx="7">
                  <c:v>Est 26</c:v>
                </c:pt>
              </c:strCache>
            </c:strRef>
          </c:cat>
          <c:val>
            <c:numRef>
              <c:f>Graphs!$C$40:$J$40</c:f>
              <c:numCache>
                <c:formatCode>_("$"* #,##0_);_("$"* \(#,##0\);_("$"* "-"_);_(@_)</c:formatCode>
                <c:ptCount val="8"/>
                <c:pt idx="0">
                  <c:v>7030148</c:v>
                </c:pt>
                <c:pt idx="1">
                  <c:v>6529301</c:v>
                </c:pt>
                <c:pt idx="2">
                  <c:v>6532351</c:v>
                </c:pt>
                <c:pt idx="3">
                  <c:v>5417966</c:v>
                </c:pt>
                <c:pt idx="4">
                  <c:v>3304066</c:v>
                </c:pt>
                <c:pt idx="5">
                  <c:v>-712384</c:v>
                </c:pt>
                <c:pt idx="6">
                  <c:v>-5498098</c:v>
                </c:pt>
                <c:pt idx="7">
                  <c:v>-10950551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31-4726-A9EF-DD0EA3D4E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0604912"/>
        <c:axId val="-1280604368"/>
      </c:barChart>
      <c:catAx>
        <c:axId val="-128060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1280604368"/>
        <c:crosses val="autoZero"/>
        <c:auto val="1"/>
        <c:lblAlgn val="ctr"/>
        <c:lblOffset val="100"/>
        <c:noMultiLvlLbl val="0"/>
      </c:catAx>
      <c:valAx>
        <c:axId val="-1280604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_);_(&quot;$&quot;* \(#,##0\);_(&quot;$&quot;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1280604912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599565134787105"/>
          <c:y val="0.94464719234798811"/>
          <c:w val="0.69926315678368622"/>
          <c:h val="4.5949718253667476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8488C4"/>
        </a:gs>
        <a:gs pos="64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r>
              <a:rPr lang="en-US" sz="1400">
                <a:latin typeface="Verdana" pitchFamily="34" charset="0"/>
                <a:ea typeface="Verdana" pitchFamily="34" charset="0"/>
                <a:cs typeface="Verdana" pitchFamily="34" charset="0"/>
              </a:rPr>
              <a:t>General Fund Revenue, Expenditures &amp; Cash Balance</a:t>
            </a:r>
          </a:p>
        </c:rich>
      </c:tx>
      <c:layout>
        <c:manualLayout>
          <c:xMode val="edge"/>
          <c:yMode val="edge"/>
          <c:x val="0.24972752506656093"/>
          <c:y val="3.83143502411035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49284116528102"/>
          <c:y val="0.12965999467039171"/>
          <c:w val="0.79461218389718791"/>
          <c:h val="0.73900816618713883"/>
        </c:manualLayout>
      </c:layout>
      <c:lineChart>
        <c:grouping val="standard"/>
        <c:varyColors val="0"/>
        <c:ser>
          <c:idx val="0"/>
          <c:order val="0"/>
          <c:tx>
            <c:strRef>
              <c:f>Graphs!$B$4</c:f>
              <c:strCache>
                <c:ptCount val="1"/>
                <c:pt idx="0">
                  <c:v>Revenue</c:v>
                </c:pt>
              </c:strCache>
            </c:strRef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Graphs!$C$3:$J$3</c:f>
              <c:strCache>
                <c:ptCount val="8"/>
                <c:pt idx="0">
                  <c:v>Act 19</c:v>
                </c:pt>
                <c:pt idx="1">
                  <c:v>Act 20</c:v>
                </c:pt>
                <c:pt idx="2">
                  <c:v>Act 21</c:v>
                </c:pt>
                <c:pt idx="3">
                  <c:v>Est 22</c:v>
                </c:pt>
                <c:pt idx="4">
                  <c:v>Est 23</c:v>
                </c:pt>
                <c:pt idx="5">
                  <c:v>Est 24</c:v>
                </c:pt>
                <c:pt idx="6">
                  <c:v>Est 25</c:v>
                </c:pt>
                <c:pt idx="7">
                  <c:v>Est 26</c:v>
                </c:pt>
              </c:strCache>
            </c:strRef>
          </c:cat>
          <c:val>
            <c:numRef>
              <c:f>Graphs!$C$4:$J$4</c:f>
              <c:numCache>
                <c:formatCode>_("$"* #,##0_);_("$"* \(#,##0\);_("$"* "-"_);_(@_)</c:formatCode>
                <c:ptCount val="8"/>
                <c:pt idx="0">
                  <c:v>35126637</c:v>
                </c:pt>
                <c:pt idx="1">
                  <c:v>34924401</c:v>
                </c:pt>
                <c:pt idx="2">
                  <c:v>36293602</c:v>
                </c:pt>
                <c:pt idx="3">
                  <c:v>32857680</c:v>
                </c:pt>
                <c:pt idx="4">
                  <c:v>33125772</c:v>
                </c:pt>
                <c:pt idx="5">
                  <c:v>32314991</c:v>
                </c:pt>
                <c:pt idx="6">
                  <c:v>32244150</c:v>
                </c:pt>
                <c:pt idx="7">
                  <c:v>32376642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A1-465A-837A-D79156C09BE3}"/>
            </c:ext>
          </c:extLst>
        </c:ser>
        <c:ser>
          <c:idx val="1"/>
          <c:order val="1"/>
          <c:tx>
            <c:strRef>
              <c:f>Graphs!$B$5</c:f>
              <c:strCache>
                <c:ptCount val="1"/>
                <c:pt idx="0">
                  <c:v>Expenditures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Graphs!$C$3:$J$3</c:f>
              <c:strCache>
                <c:ptCount val="8"/>
                <c:pt idx="0">
                  <c:v>Act 19</c:v>
                </c:pt>
                <c:pt idx="1">
                  <c:v>Act 20</c:v>
                </c:pt>
                <c:pt idx="2">
                  <c:v>Act 21</c:v>
                </c:pt>
                <c:pt idx="3">
                  <c:v>Est 22</c:v>
                </c:pt>
                <c:pt idx="4">
                  <c:v>Est 23</c:v>
                </c:pt>
                <c:pt idx="5">
                  <c:v>Est 24</c:v>
                </c:pt>
                <c:pt idx="6">
                  <c:v>Est 25</c:v>
                </c:pt>
                <c:pt idx="7">
                  <c:v>Est 26</c:v>
                </c:pt>
              </c:strCache>
            </c:strRef>
          </c:cat>
          <c:val>
            <c:numRef>
              <c:f>Graphs!$C$5:$J$5</c:f>
              <c:numCache>
                <c:formatCode>_("$"* #,##0_);_("$"* \(#,##0\);_("$"* "-"_);_(@_)</c:formatCode>
                <c:ptCount val="8"/>
                <c:pt idx="0">
                  <c:v>34481272</c:v>
                </c:pt>
                <c:pt idx="1">
                  <c:v>35425248</c:v>
                </c:pt>
                <c:pt idx="2">
                  <c:v>36290552</c:v>
                </c:pt>
                <c:pt idx="3">
                  <c:v>33972065</c:v>
                </c:pt>
                <c:pt idx="4">
                  <c:v>35239672</c:v>
                </c:pt>
                <c:pt idx="5">
                  <c:v>36331441</c:v>
                </c:pt>
                <c:pt idx="6">
                  <c:v>37029864</c:v>
                </c:pt>
                <c:pt idx="7">
                  <c:v>37829095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A1-465A-837A-D79156C09BE3}"/>
            </c:ext>
          </c:extLst>
        </c:ser>
        <c:ser>
          <c:idx val="2"/>
          <c:order val="2"/>
          <c:tx>
            <c:strRef>
              <c:f>Graphs!$B$6</c:f>
              <c:strCache>
                <c:ptCount val="1"/>
                <c:pt idx="0">
                  <c:v>Ending Bal.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Graphs!$C$3:$J$3</c:f>
              <c:strCache>
                <c:ptCount val="8"/>
                <c:pt idx="0">
                  <c:v>Act 19</c:v>
                </c:pt>
                <c:pt idx="1">
                  <c:v>Act 20</c:v>
                </c:pt>
                <c:pt idx="2">
                  <c:v>Act 21</c:v>
                </c:pt>
                <c:pt idx="3">
                  <c:v>Est 22</c:v>
                </c:pt>
                <c:pt idx="4">
                  <c:v>Est 23</c:v>
                </c:pt>
                <c:pt idx="5">
                  <c:v>Est 24</c:v>
                </c:pt>
                <c:pt idx="6">
                  <c:v>Est 25</c:v>
                </c:pt>
                <c:pt idx="7">
                  <c:v>Est 26</c:v>
                </c:pt>
              </c:strCache>
            </c:strRef>
          </c:cat>
          <c:val>
            <c:numRef>
              <c:f>Graphs!$C$6:$J$6</c:f>
              <c:numCache>
                <c:formatCode>_("$"* #,##0_);_("$"* \(#,##0\);_("$"* "-"_);_(@_)</c:formatCode>
                <c:ptCount val="8"/>
                <c:pt idx="0">
                  <c:v>7030148</c:v>
                </c:pt>
                <c:pt idx="1">
                  <c:v>6529301</c:v>
                </c:pt>
                <c:pt idx="2">
                  <c:v>6532351</c:v>
                </c:pt>
                <c:pt idx="3">
                  <c:v>5417966</c:v>
                </c:pt>
                <c:pt idx="4">
                  <c:v>3304066</c:v>
                </c:pt>
                <c:pt idx="5">
                  <c:v>-712384</c:v>
                </c:pt>
                <c:pt idx="6">
                  <c:v>-5498098</c:v>
                </c:pt>
                <c:pt idx="7">
                  <c:v>-10950551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AA1-465A-837A-D79156C09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31052608"/>
        <c:axId val="-1031054784"/>
      </c:lineChart>
      <c:catAx>
        <c:axId val="-103105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103105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31054784"/>
        <c:scaling>
          <c:orientation val="minMax"/>
          <c:max val="45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_);_(&quot;$&quot;* \(#,##0\);_(&quot;$&quot;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10310526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aseline="0"/>
            </a:pPr>
            <a:endParaRPr lang="en-US"/>
          </a:p>
        </c:txPr>
      </c:dTable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-4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 vs Expenditure 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343363386645126E-2"/>
          <c:y val="0.11387103775333866"/>
          <c:w val="0.83273320231222858"/>
          <c:h val="0.731822366455353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Graphs!$B$403</c:f>
              <c:strCache>
                <c:ptCount val="1"/>
                <c:pt idx="0">
                  <c:v> + Revenues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Graphs!$F$400:$J$400</c:f>
              <c:strCache>
                <c:ptCount val="5"/>
                <c:pt idx="0">
                  <c:v>FY21</c:v>
                </c:pt>
                <c:pt idx="1">
                  <c:v>FY22</c:v>
                </c:pt>
                <c:pt idx="2">
                  <c:v>FY23</c:v>
                </c:pt>
                <c:pt idx="3">
                  <c:v>FY24</c:v>
                </c:pt>
                <c:pt idx="4">
                  <c:v>FY25</c:v>
                </c:pt>
              </c:strCache>
            </c:strRef>
          </c:cat>
          <c:val>
            <c:numRef>
              <c:f>Graphs!$F$403:$J$403</c:f>
              <c:numCache>
                <c:formatCode>_("$"* #,##0_);_("$"* \(#,##0\);_("$"* "-"_);_(@_)</c:formatCode>
                <c:ptCount val="5"/>
                <c:pt idx="0">
                  <c:v>32857680</c:v>
                </c:pt>
                <c:pt idx="1">
                  <c:v>33125772</c:v>
                </c:pt>
                <c:pt idx="2">
                  <c:v>32314991</c:v>
                </c:pt>
                <c:pt idx="3">
                  <c:v>32244150</c:v>
                </c:pt>
                <c:pt idx="4">
                  <c:v>32376642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0B-4159-A54A-9638F5581CD5}"/>
            </c:ext>
          </c:extLst>
        </c:ser>
        <c:ser>
          <c:idx val="3"/>
          <c:order val="1"/>
          <c:tx>
            <c:strRef>
              <c:f>Graphs!$B$404</c:f>
              <c:strCache>
                <c:ptCount val="1"/>
                <c:pt idx="0">
                  <c:v> + Proposed Renewal/ Replacement Levies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Graphs!$F$400:$J$400</c:f>
              <c:strCache>
                <c:ptCount val="5"/>
                <c:pt idx="0">
                  <c:v>FY21</c:v>
                </c:pt>
                <c:pt idx="1">
                  <c:v>FY22</c:v>
                </c:pt>
                <c:pt idx="2">
                  <c:v>FY23</c:v>
                </c:pt>
                <c:pt idx="3">
                  <c:v>FY24</c:v>
                </c:pt>
                <c:pt idx="4">
                  <c:v>FY25</c:v>
                </c:pt>
              </c:strCache>
            </c:strRef>
          </c:cat>
          <c:val>
            <c:numRef>
              <c:f>Graphs!$F$404:$J$404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903671</c:v>
                </c:pt>
                <c:pt idx="2">
                  <c:v>1785476</c:v>
                </c:pt>
                <c:pt idx="3">
                  <c:v>1785476</c:v>
                </c:pt>
                <c:pt idx="4">
                  <c:v>1785476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0B-4159-A54A-9638F5581CD5}"/>
            </c:ext>
          </c:extLst>
        </c:ser>
        <c:ser>
          <c:idx val="4"/>
          <c:order val="2"/>
          <c:tx>
            <c:strRef>
              <c:f>Graphs!$B$405</c:f>
              <c:strCache>
                <c:ptCount val="1"/>
                <c:pt idx="0">
                  <c:v> + Proposed New Levies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Graphs!$F$400:$J$400</c:f>
              <c:strCache>
                <c:ptCount val="5"/>
                <c:pt idx="0">
                  <c:v>FY21</c:v>
                </c:pt>
                <c:pt idx="1">
                  <c:v>FY22</c:v>
                </c:pt>
                <c:pt idx="2">
                  <c:v>FY23</c:v>
                </c:pt>
                <c:pt idx="3">
                  <c:v>FY24</c:v>
                </c:pt>
                <c:pt idx="4">
                  <c:v>FY25</c:v>
                </c:pt>
              </c:strCache>
            </c:strRef>
          </c:cat>
          <c:val>
            <c:numRef>
              <c:f>Graphs!$F$405:$J$405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0B-4159-A54A-9638F5581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31058592"/>
        <c:axId val="-1031053696"/>
      </c:barChart>
      <c:lineChart>
        <c:grouping val="standard"/>
        <c:varyColors val="0"/>
        <c:ser>
          <c:idx val="5"/>
          <c:order val="3"/>
          <c:tx>
            <c:strRef>
              <c:f>Graphs!$B$406</c:f>
              <c:strCache>
                <c:ptCount val="1"/>
                <c:pt idx="0">
                  <c:v> - Expenditures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12700">
                <a:solidFill>
                  <a:schemeClr val="l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-4.6044289448688928E-2"/>
                  <c:y val="-4.3538926199805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1DA-41B1-A5B4-7ABDB073105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709769828991296E-2"/>
                  <c:y val="-4.3538926199806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1DA-41B1-A5B4-7ABDB073105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7378809068386665E-2"/>
                  <c:y val="-2.0094889015295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1DA-41B1-A5B4-7ABDB073105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0706210969898383E-2"/>
                  <c:y val="-4.6888074369021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1DA-41B1-A5B4-7ABDB073105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3393044504758189E-2"/>
                  <c:y val="-2.0094889015295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1DA-41B1-A5B4-7ABDB07310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Graphs!$F$400:$J$400</c:f>
              <c:strCache>
                <c:ptCount val="5"/>
                <c:pt idx="0">
                  <c:v>FY21</c:v>
                </c:pt>
                <c:pt idx="1">
                  <c:v>FY22</c:v>
                </c:pt>
                <c:pt idx="2">
                  <c:v>FY23</c:v>
                </c:pt>
                <c:pt idx="3">
                  <c:v>FY24</c:v>
                </c:pt>
                <c:pt idx="4">
                  <c:v>FY25</c:v>
                </c:pt>
              </c:strCache>
            </c:strRef>
          </c:cat>
          <c:val>
            <c:numRef>
              <c:f>Graphs!$F$406:$J$406</c:f>
              <c:numCache>
                <c:formatCode>_(* #,##0_);_(* \(#,##0\);_(* "-"_);_(@_)</c:formatCode>
                <c:ptCount val="5"/>
                <c:pt idx="0">
                  <c:v>33972065</c:v>
                </c:pt>
                <c:pt idx="1">
                  <c:v>35239672</c:v>
                </c:pt>
                <c:pt idx="2">
                  <c:v>36331441</c:v>
                </c:pt>
                <c:pt idx="3">
                  <c:v>37029864</c:v>
                </c:pt>
                <c:pt idx="4">
                  <c:v>37829095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D0B-4159-A54A-9638F5581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31055328"/>
        <c:axId val="-1031058048"/>
      </c:lineChart>
      <c:catAx>
        <c:axId val="-103105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31053696"/>
        <c:crosses val="autoZero"/>
        <c:auto val="1"/>
        <c:lblAlgn val="ctr"/>
        <c:lblOffset val="100"/>
        <c:noMultiLvlLbl val="0"/>
      </c:catAx>
      <c:valAx>
        <c:axId val="-10310536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31058592"/>
        <c:crosses val="autoZero"/>
        <c:crossBetween val="between"/>
      </c:valAx>
      <c:valAx>
        <c:axId val="-1031058048"/>
        <c:scaling>
          <c:orientation val="minMax"/>
        </c:scaling>
        <c:delete val="0"/>
        <c:axPos val="r"/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31055328"/>
        <c:crosses val="max"/>
        <c:crossBetween val="between"/>
      </c:valAx>
      <c:catAx>
        <c:axId val="-10310553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031058048"/>
        <c:crosses val="autoZero"/>
        <c:auto val="1"/>
        <c:lblAlgn val="ctr"/>
        <c:lblOffset val="100"/>
        <c:noMultiLvlLbl val="0"/>
      </c:catAx>
      <c:spPr>
        <a:solidFill>
          <a:schemeClr val="bg2"/>
        </a:solidFill>
        <a:ln>
          <a:noFill/>
        </a:ln>
        <a:effectLst/>
      </c:spPr>
    </c:plotArea>
    <c:legend>
      <c:legendPos val="b"/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Graphs!$B$71</c:f>
          <c:strCache>
            <c:ptCount val="1"/>
            <c:pt idx="0">
              <c:v>Ending Cash Balance in True Cash Days</c:v>
            </c:pt>
          </c:strCache>
        </c:strRef>
      </c:tx>
      <c:overlay val="0"/>
      <c:spPr>
        <a:noFill/>
      </c:spPr>
      <c:txPr>
        <a:bodyPr/>
        <a:lstStyle/>
        <a:p>
          <a:pPr>
            <a:defRPr/>
          </a:pPr>
          <a:endParaRPr lang="en-US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111100036546055E-2"/>
          <c:y val="0.19345561051106852"/>
          <c:w val="0.78024359613276184"/>
          <c:h val="0.675965225614277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Graphs!$B$73</c:f>
              <c:strCache>
                <c:ptCount val="1"/>
                <c:pt idx="0">
                  <c:v>True Cash Days</c:v>
                </c:pt>
              </c:strCache>
            </c:strRef>
          </c:tx>
          <c:invertIfNegative val="0"/>
          <c:dLbls>
            <c:dLbl>
              <c:idx val="5"/>
              <c:layout>
                <c:manualLayout>
                  <c:x val="1.1799410029498525E-2"/>
                  <c:y val="-9.45999094224493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9A7-4961-BF41-6B569FA5355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1799410029498402E-2"/>
                  <c:y val="-9.45961850165661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9A7-4961-BF41-6B569FA5355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0113780025284326E-2"/>
                  <c:y val="-2.06257597788009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9A7-4961-BF41-6B569FA5355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Graphs!$C$72:$J$72</c:f>
              <c:strCache>
                <c:ptCount val="8"/>
                <c:pt idx="0">
                  <c:v>Act 19</c:v>
                </c:pt>
                <c:pt idx="1">
                  <c:v>Act 20</c:v>
                </c:pt>
                <c:pt idx="2">
                  <c:v>Act 21</c:v>
                </c:pt>
                <c:pt idx="3">
                  <c:v>Est 22</c:v>
                </c:pt>
                <c:pt idx="4">
                  <c:v>Est 23</c:v>
                </c:pt>
                <c:pt idx="5">
                  <c:v>Est 24</c:v>
                </c:pt>
                <c:pt idx="6">
                  <c:v>Est 25</c:v>
                </c:pt>
                <c:pt idx="7">
                  <c:v>Est 26</c:v>
                </c:pt>
              </c:strCache>
            </c:strRef>
          </c:cat>
          <c:val>
            <c:numRef>
              <c:f>Graphs!$C$73:$J$73</c:f>
              <c:numCache>
                <c:formatCode>#,##0_);\(#,##0\)</c:formatCode>
                <c:ptCount val="8"/>
                <c:pt idx="0">
                  <c:v>74.417324859709353</c:v>
                </c:pt>
                <c:pt idx="1">
                  <c:v>67.273907722537331</c:v>
                </c:pt>
                <c:pt idx="2">
                  <c:v>65.700519380361044</c:v>
                </c:pt>
                <c:pt idx="3">
                  <c:v>58.211285949205617</c:v>
                </c:pt>
                <c:pt idx="4">
                  <c:v>34.222341513280824</c:v>
                </c:pt>
                <c:pt idx="5">
                  <c:v>-7.156890914401111</c:v>
                </c:pt>
                <c:pt idx="6">
                  <c:v>-54.194251699115071</c:v>
                </c:pt>
                <c:pt idx="7">
                  <c:v>-105.65812148030504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7A-402C-9824-0C95B09D8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31046624"/>
        <c:axId val="-1031060768"/>
        <c:axId val="0"/>
      </c:bar3DChart>
      <c:catAx>
        <c:axId val="-1031046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031060768"/>
        <c:crosses val="autoZero"/>
        <c:auto val="1"/>
        <c:lblAlgn val="ctr"/>
        <c:lblOffset val="100"/>
        <c:noMultiLvlLbl val="0"/>
      </c:catAx>
      <c:valAx>
        <c:axId val="-1031060768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-10310466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8488C4"/>
        </a:gs>
        <a:gs pos="18000">
          <a:srgbClr val="D4DEFF"/>
        </a:gs>
        <a:gs pos="88000">
          <a:srgbClr val="D4DEFF"/>
        </a:gs>
        <a:gs pos="100000">
          <a:srgbClr val="96AB94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'SM1'!$B$50</c:f>
              <c:strCache>
                <c:ptCount val="1"/>
                <c:pt idx="0">
                  <c:v>Beg Balance</c:v>
                </c:pt>
              </c:strCache>
            </c:strRef>
          </c:tx>
          <c:marker>
            <c:symbol val="none"/>
          </c:marker>
          <c:cat>
            <c:strRef>
              <c:f>'SM1'!$C$48:$O$49</c:f>
              <c:strCache>
                <c:ptCount val="13"/>
                <c:pt idx="0">
                  <c:v>Beg</c:v>
                </c:pt>
                <c:pt idx="1">
                  <c:v>July</c:v>
                </c:pt>
                <c:pt idx="2">
                  <c:v>Aug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</c:strCache>
            </c:strRef>
          </c:cat>
          <c:val>
            <c:numRef>
              <c:f>'SM1'!$C$50:$O$50</c:f>
              <c:numCache>
                <c:formatCode>#,##0</c:formatCode>
                <c:ptCount val="13"/>
                <c:pt idx="0">
                  <c:v>6532351</c:v>
                </c:pt>
                <c:pt idx="1">
                  <c:v>-292755713272.31183</c:v>
                </c:pt>
                <c:pt idx="2">
                  <c:v>-585519438747.10364</c:v>
                </c:pt>
                <c:pt idx="3">
                  <c:v>-585521638562.64441</c:v>
                </c:pt>
                <c:pt idx="4">
                  <c:v>-585521042756.91626</c:v>
                </c:pt>
                <c:pt idx="5">
                  <c:v>-585522362531.70813</c:v>
                </c:pt>
                <c:pt idx="6">
                  <c:v>-585523682306.5</c:v>
                </c:pt>
                <c:pt idx="7">
                  <c:v>-585523939912.27185</c:v>
                </c:pt>
                <c:pt idx="8">
                  <c:v>-28318561586487.062</c:v>
                </c:pt>
                <c:pt idx="9">
                  <c:v>-56051600015102.602</c:v>
                </c:pt>
                <c:pt idx="10">
                  <c:v>-56051599983025.914</c:v>
                </c:pt>
                <c:pt idx="11">
                  <c:v>-56051600449389.211</c:v>
                </c:pt>
                <c:pt idx="12">
                  <c:v>-56051601811164.008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8C-420C-9EFF-8397A95FA9BA}"/>
            </c:ext>
          </c:extLst>
        </c:ser>
        <c:ser>
          <c:idx val="1"/>
          <c:order val="1"/>
          <c:tx>
            <c:strRef>
              <c:f>'SM1'!$B$51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'SM1'!$C$48:$O$49</c:f>
              <c:strCache>
                <c:ptCount val="13"/>
                <c:pt idx="0">
                  <c:v>Beg</c:v>
                </c:pt>
                <c:pt idx="1">
                  <c:v>July</c:v>
                </c:pt>
                <c:pt idx="2">
                  <c:v>Aug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</c:strCache>
            </c:strRef>
          </c:cat>
          <c:val>
            <c:numRef>
              <c:f>'SM1'!$C$51:$O$51</c:f>
              <c:numCache>
                <c:formatCode>#,##0</c:formatCode>
                <c:ptCount val="13"/>
                <c:pt idx="0">
                  <c:v>6532351</c:v>
                </c:pt>
                <c:pt idx="1">
                  <c:v>9950601.830000015</c:v>
                </c:pt>
                <c:pt idx="2">
                  <c:v>11277868.920000022</c:v>
                </c:pt>
                <c:pt idx="3">
                  <c:v>10444783.850000029</c:v>
                </c:pt>
                <c:pt idx="4">
                  <c:v>10393474.260000035</c:v>
                </c:pt>
                <c:pt idx="5">
                  <c:v>9128092.440000046</c:v>
                </c:pt>
                <c:pt idx="6">
                  <c:v>7999029.8700000495</c:v>
                </c:pt>
                <c:pt idx="7">
                  <c:v>9079798.8700000495</c:v>
                </c:pt>
                <c:pt idx="8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8C-420C-9EFF-8397A95FA9BA}"/>
            </c:ext>
          </c:extLst>
        </c:ser>
        <c:ser>
          <c:idx val="2"/>
          <c:order val="2"/>
          <c:tx>
            <c:strRef>
              <c:f>'SM1'!$B$52</c:f>
              <c:strCache>
                <c:ptCount val="1"/>
                <c:pt idx="0">
                  <c:v>Fiscal Year 2021</c:v>
                </c:pt>
              </c:strCache>
            </c:strRef>
          </c:tx>
          <c:marker>
            <c:symbol val="none"/>
          </c:marker>
          <c:cat>
            <c:strRef>
              <c:f>'SM1'!$C$48:$O$49</c:f>
              <c:strCache>
                <c:ptCount val="13"/>
                <c:pt idx="0">
                  <c:v>Beg</c:v>
                </c:pt>
                <c:pt idx="1">
                  <c:v>July</c:v>
                </c:pt>
                <c:pt idx="2">
                  <c:v>Aug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</c:strCache>
            </c:strRef>
          </c:cat>
          <c:val>
            <c:numRef>
              <c:f>'SM1'!$C$52:$O$52</c:f>
              <c:numCache>
                <c:formatCode>#,##0</c:formatCode>
                <c:ptCount val="13"/>
                <c:pt idx="0">
                  <c:v>6529301</c:v>
                </c:pt>
                <c:pt idx="1">
                  <c:v>7561303.390000008</c:v>
                </c:pt>
                <c:pt idx="2">
                  <c:v>10413699.47000001</c:v>
                </c:pt>
                <c:pt idx="3">
                  <c:v>9487064.280000031</c:v>
                </c:pt>
                <c:pt idx="4">
                  <c:v>8945773.4800000433</c:v>
                </c:pt>
                <c:pt idx="5">
                  <c:v>7848883.4500000589</c:v>
                </c:pt>
                <c:pt idx="6">
                  <c:v>6685113.8200000729</c:v>
                </c:pt>
                <c:pt idx="7">
                  <c:v>6793204.3800000809</c:v>
                </c:pt>
                <c:pt idx="8">
                  <c:v>9012123.1700000837</c:v>
                </c:pt>
                <c:pt idx="9">
                  <c:v>10583004.420000099</c:v>
                </c:pt>
                <c:pt idx="10">
                  <c:v>10405853.620000105</c:v>
                </c:pt>
                <c:pt idx="11">
                  <c:v>9201845.5700001121</c:v>
                </c:pt>
                <c:pt idx="12">
                  <c:v>7804008.7300001159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48C-420C-9EFF-8397A95FA9BA}"/>
            </c:ext>
          </c:extLst>
        </c:ser>
        <c:ser>
          <c:idx val="3"/>
          <c:order val="3"/>
          <c:tx>
            <c:strRef>
              <c:f>'SM1'!$B$53</c:f>
              <c:strCache>
                <c:ptCount val="1"/>
                <c:pt idx="0">
                  <c:v>Fiscal Year 2020</c:v>
                </c:pt>
              </c:strCache>
            </c:strRef>
          </c:tx>
          <c:marker>
            <c:symbol val="none"/>
          </c:marker>
          <c:cat>
            <c:strRef>
              <c:f>'SM1'!$C$48:$O$49</c:f>
              <c:strCache>
                <c:ptCount val="13"/>
                <c:pt idx="0">
                  <c:v>Beg</c:v>
                </c:pt>
                <c:pt idx="1">
                  <c:v>July</c:v>
                </c:pt>
                <c:pt idx="2">
                  <c:v>Aug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</c:strCache>
            </c:strRef>
          </c:cat>
          <c:val>
            <c:numRef>
              <c:f>'SM1'!$C$53:$O$53</c:f>
              <c:numCache>
                <c:formatCode>#,##0</c:formatCode>
                <c:ptCount val="13"/>
                <c:pt idx="0">
                  <c:v>6583192</c:v>
                </c:pt>
                <c:pt idx="1">
                  <c:v>7993965.4299999978</c:v>
                </c:pt>
                <c:pt idx="2">
                  <c:v>10019552.719999999</c:v>
                </c:pt>
                <c:pt idx="3">
                  <c:v>9176907.2699999996</c:v>
                </c:pt>
                <c:pt idx="4">
                  <c:v>8555842.3599999957</c:v>
                </c:pt>
                <c:pt idx="5">
                  <c:v>7696820.3899999894</c:v>
                </c:pt>
                <c:pt idx="6">
                  <c:v>6823948.5399999898</c:v>
                </c:pt>
                <c:pt idx="7">
                  <c:v>6646362.8099999875</c:v>
                </c:pt>
                <c:pt idx="8">
                  <c:v>8848166.8199999854</c:v>
                </c:pt>
                <c:pt idx="9">
                  <c:v>10063933.429999989</c:v>
                </c:pt>
                <c:pt idx="10">
                  <c:v>8579659.9499999844</c:v>
                </c:pt>
                <c:pt idx="11">
                  <c:v>8283642.0399999842</c:v>
                </c:pt>
                <c:pt idx="12">
                  <c:v>6833070.4999999888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48C-420C-9EFF-8397A95FA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31059136"/>
        <c:axId val="-1031048800"/>
      </c:lineChart>
      <c:catAx>
        <c:axId val="-1031059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031048800"/>
        <c:crosses val="autoZero"/>
        <c:auto val="1"/>
        <c:lblAlgn val="ctr"/>
        <c:lblOffset val="100"/>
        <c:noMultiLvlLbl val="0"/>
      </c:catAx>
      <c:valAx>
        <c:axId val="-103104880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-1031059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'SM1'!$B$88</c:f>
              <c:strCache>
                <c:ptCount val="1"/>
                <c:pt idx="0">
                  <c:v>Fiscal Year 2020</c:v>
                </c:pt>
              </c:strCache>
            </c:strRef>
          </c:tx>
          <c:invertIfNegative val="0"/>
          <c:cat>
            <c:strRef>
              <c:f>'SM1'!$C$83:$O$84</c:f>
              <c:strCache>
                <c:ptCount val="13"/>
                <c:pt idx="1">
                  <c:v>July</c:v>
                </c:pt>
                <c:pt idx="2">
                  <c:v>Aug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</c:strCache>
            </c:strRef>
          </c:cat>
          <c:val>
            <c:numRef>
              <c:f>'SM1'!$C$88:$O$88</c:f>
              <c:numCache>
                <c:formatCode>#,##0</c:formatCode>
                <c:ptCount val="13"/>
                <c:pt idx="1">
                  <c:v>3679515.5599999987</c:v>
                </c:pt>
                <c:pt idx="2">
                  <c:v>7831315.0999999996</c:v>
                </c:pt>
                <c:pt idx="3">
                  <c:v>9262386.5</c:v>
                </c:pt>
                <c:pt idx="4">
                  <c:v>11528598.6</c:v>
                </c:pt>
                <c:pt idx="5">
                  <c:v>12807030.559999999</c:v>
                </c:pt>
                <c:pt idx="6">
                  <c:v>14095569.879999999</c:v>
                </c:pt>
                <c:pt idx="7">
                  <c:v>16018101.569999998</c:v>
                </c:pt>
                <c:pt idx="8">
                  <c:v>20517431.639999997</c:v>
                </c:pt>
                <c:pt idx="9">
                  <c:v>24223687.229999997</c:v>
                </c:pt>
                <c:pt idx="10">
                  <c:v>25848629.389999997</c:v>
                </c:pt>
                <c:pt idx="11">
                  <c:v>27970098.849999998</c:v>
                </c:pt>
                <c:pt idx="12">
                  <c:v>29251223.839999996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E68-44B9-95EB-2A07D671DC7C}"/>
            </c:ext>
          </c:extLst>
        </c:ser>
        <c:ser>
          <c:idx val="2"/>
          <c:order val="1"/>
          <c:tx>
            <c:strRef>
              <c:f>'SM1'!$B$87</c:f>
              <c:strCache>
                <c:ptCount val="1"/>
                <c:pt idx="0">
                  <c:v>Fiscal Year 2021</c:v>
                </c:pt>
              </c:strCache>
            </c:strRef>
          </c:tx>
          <c:invertIfNegative val="0"/>
          <c:cat>
            <c:strRef>
              <c:f>'SM1'!$C$83:$O$84</c:f>
              <c:strCache>
                <c:ptCount val="13"/>
                <c:pt idx="1">
                  <c:v>July</c:v>
                </c:pt>
                <c:pt idx="2">
                  <c:v>Aug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</c:strCache>
            </c:strRef>
          </c:cat>
          <c:val>
            <c:numRef>
              <c:f>'SM1'!$C$87:$O$87</c:f>
              <c:numCache>
                <c:formatCode>#,##0</c:formatCode>
                <c:ptCount val="13"/>
                <c:pt idx="1">
                  <c:v>3476787.87</c:v>
                </c:pt>
                <c:pt idx="2">
                  <c:v>8668571.3099999987</c:v>
                </c:pt>
                <c:pt idx="3">
                  <c:v>10943075.84</c:v>
                </c:pt>
                <c:pt idx="4">
                  <c:v>12913913.689999999</c:v>
                </c:pt>
                <c:pt idx="5">
                  <c:v>14180108.51</c:v>
                </c:pt>
                <c:pt idx="6">
                  <c:v>15467963.84</c:v>
                </c:pt>
                <c:pt idx="7">
                  <c:v>17942279.609999999</c:v>
                </c:pt>
                <c:pt idx="8">
                  <c:v>22524776.779999997</c:v>
                </c:pt>
                <c:pt idx="9">
                  <c:v>27438698.149999999</c:v>
                </c:pt>
                <c:pt idx="10">
                  <c:v>29692033.359999999</c:v>
                </c:pt>
                <c:pt idx="11">
                  <c:v>30946441.559999999</c:v>
                </c:pt>
                <c:pt idx="12">
                  <c:v>32365812.869999997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E68-44B9-95EB-2A07D671DC7C}"/>
            </c:ext>
          </c:extLst>
        </c:ser>
        <c:ser>
          <c:idx val="0"/>
          <c:order val="2"/>
          <c:tx>
            <c:strRef>
              <c:f>'SM1'!$B$85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strRef>
              <c:f>'SM1'!$C$83:$O$84</c:f>
              <c:strCache>
                <c:ptCount val="13"/>
                <c:pt idx="1">
                  <c:v>July</c:v>
                </c:pt>
                <c:pt idx="2">
                  <c:v>Aug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</c:strCache>
            </c:strRef>
          </c:cat>
          <c:val>
            <c:numRef>
              <c:f>'SM1'!$C$85:$O$85</c:f>
              <c:numCache>
                <c:formatCode>#,##0</c:formatCode>
                <c:ptCount val="13"/>
                <c:pt idx="1">
                  <c:v>-292759549085.35333</c:v>
                </c:pt>
                <c:pt idx="2">
                  <c:v>-585520578022.18665</c:v>
                </c:pt>
                <c:pt idx="3">
                  <c:v>-585519299259.02002</c:v>
                </c:pt>
                <c:pt idx="4">
                  <c:v>-585516006915.33337</c:v>
                </c:pt>
                <c:pt idx="5">
                  <c:v>-585514630152.16675</c:v>
                </c:pt>
                <c:pt idx="6">
                  <c:v>-585513253389.00012</c:v>
                </c:pt>
                <c:pt idx="7">
                  <c:v>-585510814456.81348</c:v>
                </c:pt>
                <c:pt idx="8">
                  <c:v>-28318545764493.645</c:v>
                </c:pt>
                <c:pt idx="9">
                  <c:v>-56051580714530.477</c:v>
                </c:pt>
                <c:pt idx="10">
                  <c:v>-56051577985915.828</c:v>
                </c:pt>
                <c:pt idx="11">
                  <c:v>-56051575755741.164</c:v>
                </c:pt>
                <c:pt idx="12">
                  <c:v>-56051574378978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68-44B9-95EB-2A07D671DC7C}"/>
            </c:ext>
          </c:extLst>
        </c:ser>
        <c:ser>
          <c:idx val="1"/>
          <c:order val="3"/>
          <c:tx>
            <c:strRef>
              <c:f>'SM1'!$B$86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'SM1'!$C$83:$O$84</c:f>
              <c:strCache>
                <c:ptCount val="13"/>
                <c:pt idx="1">
                  <c:v>July</c:v>
                </c:pt>
                <c:pt idx="2">
                  <c:v>Aug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</c:strCache>
            </c:strRef>
          </c:cat>
          <c:val>
            <c:numRef>
              <c:f>'SM1'!$C$86:$O$86</c:f>
              <c:numCache>
                <c:formatCode>#,##0</c:formatCode>
                <c:ptCount val="13"/>
                <c:pt idx="1">
                  <c:v>6092332.3600000003</c:v>
                </c:pt>
                <c:pt idx="2">
                  <c:v>9846697.5899999999</c:v>
                </c:pt>
                <c:pt idx="3">
                  <c:v>12125588.609999999</c:v>
                </c:pt>
                <c:pt idx="4">
                  <c:v>14451008.619999999</c:v>
                </c:pt>
                <c:pt idx="5">
                  <c:v>15739959.449999999</c:v>
                </c:pt>
                <c:pt idx="6">
                  <c:v>17031183.989999998</c:v>
                </c:pt>
                <c:pt idx="7">
                  <c:v>20478052.989999998</c:v>
                </c:pt>
                <c:pt idx="8">
                  <c:v>24582092.989999998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68-44B9-95EB-2A07D671D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31048256"/>
        <c:axId val="-1031057504"/>
      </c:barChart>
      <c:catAx>
        <c:axId val="-103104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031057504"/>
        <c:crosses val="autoZero"/>
        <c:auto val="1"/>
        <c:lblAlgn val="ctr"/>
        <c:lblOffset val="100"/>
        <c:noMultiLvlLbl val="0"/>
      </c:catAx>
      <c:valAx>
        <c:axId val="-1031057504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0"/>
        <c:majorTickMark val="out"/>
        <c:minorTickMark val="none"/>
        <c:tickLblPos val="nextTo"/>
        <c:crossAx val="-1031048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'SM1'!$B$123:$C$123</c:f>
              <c:strCache>
                <c:ptCount val="2"/>
                <c:pt idx="0">
                  <c:v>Fiscal Year 2020</c:v>
                </c:pt>
              </c:strCache>
            </c:strRef>
          </c:tx>
          <c:invertIfNegative val="0"/>
          <c:cat>
            <c:strRef>
              <c:f>'SM1'!$D$119:$O$119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'SM1'!$D$123:$O$123</c:f>
              <c:numCache>
                <c:formatCode>#,##0</c:formatCode>
                <c:ptCount val="12"/>
                <c:pt idx="0">
                  <c:v>2268742.1300000004</c:v>
                </c:pt>
                <c:pt idx="1">
                  <c:v>4394954.3800000008</c:v>
                </c:pt>
                <c:pt idx="2">
                  <c:v>6668671.2300000004</c:v>
                </c:pt>
                <c:pt idx="3">
                  <c:v>9555948.2400000058</c:v>
                </c:pt>
                <c:pt idx="4">
                  <c:v>11693402.170000009</c:v>
                </c:pt>
                <c:pt idx="5">
                  <c:v>13854813.340000009</c:v>
                </c:pt>
                <c:pt idx="6">
                  <c:v>15954930.760000013</c:v>
                </c:pt>
                <c:pt idx="7">
                  <c:v>18252456.820000011</c:v>
                </c:pt>
                <c:pt idx="8">
                  <c:v>20742945.800000008</c:v>
                </c:pt>
                <c:pt idx="9">
                  <c:v>23852161.440000013</c:v>
                </c:pt>
                <c:pt idx="10">
                  <c:v>26269648.81000001</c:v>
                </c:pt>
                <c:pt idx="11">
                  <c:v>29001345.340000007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8B-47ED-B3BB-5EAB2C5062E6}"/>
            </c:ext>
          </c:extLst>
        </c:ser>
        <c:ser>
          <c:idx val="2"/>
          <c:order val="1"/>
          <c:tx>
            <c:strRef>
              <c:f>'SM1'!$B$122:$C$122</c:f>
              <c:strCache>
                <c:ptCount val="2"/>
                <c:pt idx="0">
                  <c:v>Fiscal Year 2021</c:v>
                </c:pt>
              </c:strCache>
            </c:strRef>
          </c:tx>
          <c:invertIfNegative val="0"/>
          <c:cat>
            <c:strRef>
              <c:f>'SM1'!$D$119:$O$119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'SM1'!$D$122:$O$122</c:f>
              <c:numCache>
                <c:formatCode>#,##0</c:formatCode>
                <c:ptCount val="12"/>
                <c:pt idx="0">
                  <c:v>2444785.4799999935</c:v>
                </c:pt>
                <c:pt idx="1">
                  <c:v>4784172.8399999887</c:v>
                </c:pt>
                <c:pt idx="2">
                  <c:v>7985312.5599999689</c:v>
                </c:pt>
                <c:pt idx="3">
                  <c:v>10497441.209999954</c:v>
                </c:pt>
                <c:pt idx="4">
                  <c:v>12860526.059999939</c:v>
                </c:pt>
                <c:pt idx="5">
                  <c:v>15312151.019999927</c:v>
                </c:pt>
                <c:pt idx="6">
                  <c:v>17678376.229999918</c:v>
                </c:pt>
                <c:pt idx="7">
                  <c:v>20041954.609999914</c:v>
                </c:pt>
                <c:pt idx="8">
                  <c:v>23384994.7299999</c:v>
                </c:pt>
                <c:pt idx="9">
                  <c:v>25815480.739999894</c:v>
                </c:pt>
                <c:pt idx="10">
                  <c:v>28273896.98999989</c:v>
                </c:pt>
                <c:pt idx="11">
                  <c:v>31091105.139999881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8B-47ED-B3BB-5EAB2C5062E6}"/>
            </c:ext>
          </c:extLst>
        </c:ser>
        <c:ser>
          <c:idx val="0"/>
          <c:order val="2"/>
          <c:tx>
            <c:strRef>
              <c:f>'SM1'!$B$120:$C$120</c:f>
              <c:strCache>
                <c:ptCount val="2"/>
                <c:pt idx="0">
                  <c:v>Budget</c:v>
                </c:pt>
              </c:strCache>
            </c:strRef>
          </c:tx>
          <c:invertIfNegative val="0"/>
          <c:cat>
            <c:strRef>
              <c:f>'SM1'!$D$119:$O$119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'SM1'!$D$120:$O$120</c:f>
              <c:numCache>
                <c:formatCode>#,##0</c:formatCode>
                <c:ptCount val="12"/>
                <c:pt idx="0">
                  <c:v>2696537.9585256409</c:v>
                </c:pt>
                <c:pt idx="1">
                  <c:v>5393075.9170512818</c:v>
                </c:pt>
                <c:pt idx="2">
                  <c:v>8871654.6244230773</c:v>
                </c:pt>
                <c:pt idx="3">
                  <c:v>11568192.582948718</c:v>
                </c:pt>
                <c:pt idx="4">
                  <c:v>14264730.541474359</c:v>
                </c:pt>
                <c:pt idx="5">
                  <c:v>16961268.5</c:v>
                </c:pt>
                <c:pt idx="6">
                  <c:v>19657806.458525643</c:v>
                </c:pt>
                <c:pt idx="7">
                  <c:v>22354344.417051286</c:v>
                </c:pt>
                <c:pt idx="8">
                  <c:v>25832923.124423079</c:v>
                </c:pt>
                <c:pt idx="9">
                  <c:v>28529461.082948722</c:v>
                </c:pt>
                <c:pt idx="10">
                  <c:v>31225999.041474365</c:v>
                </c:pt>
                <c:pt idx="11">
                  <c:v>33964537.000000007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8B-47ED-B3BB-5EAB2C5062E6}"/>
            </c:ext>
          </c:extLst>
        </c:ser>
        <c:ser>
          <c:idx val="1"/>
          <c:order val="3"/>
          <c:tx>
            <c:strRef>
              <c:f>'SM1'!$B$121:$C$121</c:f>
              <c:strCache>
                <c:ptCount val="2"/>
                <c:pt idx="0">
                  <c:v>Actual</c:v>
                </c:pt>
              </c:strCache>
            </c:strRef>
          </c:tx>
          <c:invertIfNegative val="0"/>
          <c:cat>
            <c:strRef>
              <c:f>'SM1'!$D$119:$O$119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'SM1'!$D$121:$O$121</c:f>
              <c:numCache>
                <c:formatCode>#,##0</c:formatCode>
                <c:ptCount val="12"/>
                <c:pt idx="0">
                  <c:v>2674081.5299999844</c:v>
                </c:pt>
                <c:pt idx="1">
                  <c:v>5101179.6699999776</c:v>
                </c:pt>
                <c:pt idx="2">
                  <c:v>8213155.75999997</c:v>
                </c:pt>
                <c:pt idx="3">
                  <c:v>10589885.359999962</c:v>
                </c:pt>
                <c:pt idx="4">
                  <c:v>13144218.009999953</c:v>
                </c:pt>
                <c:pt idx="5">
                  <c:v>15564505.119999949</c:v>
                </c:pt>
                <c:pt idx="6">
                  <c:v>17930605.119999949</c:v>
                </c:pt>
                <c:pt idx="7">
                  <c:v>20282832.119999949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8B-47ED-B3BB-5EAB2C506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31052064"/>
        <c:axId val="-1031051520"/>
      </c:barChart>
      <c:catAx>
        <c:axId val="-1031052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031051520"/>
        <c:crosses val="autoZero"/>
        <c:auto val="1"/>
        <c:lblAlgn val="ctr"/>
        <c:lblOffset val="100"/>
        <c:noMultiLvlLbl val="0"/>
      </c:catAx>
      <c:valAx>
        <c:axId val="-1031051520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_);_(@_)" sourceLinked="0"/>
        <c:majorTickMark val="out"/>
        <c:minorTickMark val="none"/>
        <c:tickLblPos val="nextTo"/>
        <c:crossAx val="-1031052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 sz="1400"/>
              <a:t>General Fund Local Revenue Vs. State</a:t>
            </a:r>
          </a:p>
        </c:rich>
      </c:tx>
      <c:layout>
        <c:manualLayout>
          <c:xMode val="edge"/>
          <c:yMode val="edge"/>
          <c:x val="0.3348511508427055"/>
          <c:y val="2.3249931574884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25125096772994"/>
          <c:y val="0.11876498561278663"/>
          <c:w val="0.7776777784746246"/>
          <c:h val="0.7412879708134849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Graphs!$B$100</c:f>
              <c:strCache>
                <c:ptCount val="1"/>
                <c:pt idx="0">
                  <c:v>Local Revenue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Graphs!$C$99:$J$99</c:f>
              <c:strCache>
                <c:ptCount val="8"/>
                <c:pt idx="0">
                  <c:v>Act 19</c:v>
                </c:pt>
                <c:pt idx="1">
                  <c:v>Act 20</c:v>
                </c:pt>
                <c:pt idx="2">
                  <c:v>Act 21</c:v>
                </c:pt>
                <c:pt idx="3">
                  <c:v>Est 22</c:v>
                </c:pt>
                <c:pt idx="4">
                  <c:v>Est 23</c:v>
                </c:pt>
                <c:pt idx="5">
                  <c:v>Est 24</c:v>
                </c:pt>
                <c:pt idx="6">
                  <c:v>Est 25</c:v>
                </c:pt>
                <c:pt idx="7">
                  <c:v>Est 26</c:v>
                </c:pt>
              </c:strCache>
            </c:strRef>
          </c:cat>
          <c:val>
            <c:numRef>
              <c:f>Graphs!$C$100:$J$100</c:f>
              <c:numCache>
                <c:formatCode>_("$"* #,##0_);_("$"* \(#,##0\);_("$"* "-"_);_(@_)</c:formatCode>
                <c:ptCount val="8"/>
                <c:pt idx="0">
                  <c:v>12299069</c:v>
                </c:pt>
                <c:pt idx="1">
                  <c:v>12964349</c:v>
                </c:pt>
                <c:pt idx="2">
                  <c:v>13657096</c:v>
                </c:pt>
                <c:pt idx="3">
                  <c:v>12761640</c:v>
                </c:pt>
                <c:pt idx="4">
                  <c:v>12544720</c:v>
                </c:pt>
                <c:pt idx="5">
                  <c:v>12047424</c:v>
                </c:pt>
                <c:pt idx="6">
                  <c:v>12215702</c:v>
                </c:pt>
                <c:pt idx="7">
                  <c:v>12391454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A8-417F-A34B-A21BF3A7A237}"/>
            </c:ext>
          </c:extLst>
        </c:ser>
        <c:ser>
          <c:idx val="3"/>
          <c:order val="1"/>
          <c:tx>
            <c:strRef>
              <c:f>Graphs!$B$101</c:f>
              <c:strCache>
                <c:ptCount val="1"/>
                <c:pt idx="0">
                  <c:v>State Revenue</c:v>
                </c:pt>
              </c:strCache>
            </c:strRef>
          </c:tx>
          <c:spPr>
            <a:solidFill>
              <a:srgbClr val="CC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Graphs!$C$99:$J$99</c:f>
              <c:strCache>
                <c:ptCount val="8"/>
                <c:pt idx="0">
                  <c:v>Act 19</c:v>
                </c:pt>
                <c:pt idx="1">
                  <c:v>Act 20</c:v>
                </c:pt>
                <c:pt idx="2">
                  <c:v>Act 21</c:v>
                </c:pt>
                <c:pt idx="3">
                  <c:v>Est 22</c:v>
                </c:pt>
                <c:pt idx="4">
                  <c:v>Est 23</c:v>
                </c:pt>
                <c:pt idx="5">
                  <c:v>Est 24</c:v>
                </c:pt>
                <c:pt idx="6">
                  <c:v>Est 25</c:v>
                </c:pt>
                <c:pt idx="7">
                  <c:v>Est 26</c:v>
                </c:pt>
              </c:strCache>
            </c:strRef>
          </c:cat>
          <c:val>
            <c:numRef>
              <c:f>Graphs!$C$101:$J$101</c:f>
              <c:numCache>
                <c:formatCode>_("$"* #,##0_);_("$"* \(#,##0\);_("$"* "-"_);_(@_)</c:formatCode>
                <c:ptCount val="8"/>
                <c:pt idx="0">
                  <c:v>22517267</c:v>
                </c:pt>
                <c:pt idx="1">
                  <c:v>21727728</c:v>
                </c:pt>
                <c:pt idx="2">
                  <c:v>21747855</c:v>
                </c:pt>
                <c:pt idx="3">
                  <c:v>19691959</c:v>
                </c:pt>
                <c:pt idx="4">
                  <c:v>20279886</c:v>
                </c:pt>
                <c:pt idx="5">
                  <c:v>19966401</c:v>
                </c:pt>
                <c:pt idx="6">
                  <c:v>19727282</c:v>
                </c:pt>
                <c:pt idx="7">
                  <c:v>19684022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A8-417F-A34B-A21BF3A7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0600560"/>
        <c:axId val="-1451730672"/>
      </c:barChart>
      <c:catAx>
        <c:axId val="-128060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145173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51730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_);_(&quot;$&quot;* \(#,##0\);_(&quot;$&quot;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1280600560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509038060191891"/>
          <c:y val="0.93103880000292738"/>
          <c:w val="0.40168578646770658"/>
          <c:h val="5.1546391752574576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8488C4"/>
        </a:gs>
        <a:gs pos="7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Graphs!$B$168</c:f>
          <c:strCache>
            <c:ptCount val="1"/>
            <c:pt idx="0">
              <c:v>General Fund Estimated Revenues FY21 $ 35,404,951</c:v>
            </c:pt>
          </c:strCache>
        </c:strRef>
      </c:tx>
      <c:layout>
        <c:manualLayout>
          <c:xMode val="edge"/>
          <c:yMode val="edge"/>
          <c:x val="0.20625475295651285"/>
          <c:y val="1.98927442725359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title>
    <c:autoTitleDeleted val="0"/>
    <c:view3D>
      <c:rotX val="20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86990801576881"/>
          <c:y val="0.33746939151359712"/>
          <c:w val="0.48094612352168198"/>
          <c:h val="0.3622833173601763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758-4CFF-957E-83FF98075784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758-4CFF-957E-83FF98075784}"/>
              </c:ext>
            </c:extLst>
          </c:dPt>
          <c:dPt>
            <c:idx val="2"/>
            <c:bubble3D val="0"/>
            <c:spPr>
              <a:solidFill>
                <a:srgbClr val="CC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758-4CFF-957E-83FF98075784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758-4CFF-957E-83FF98075784}"/>
              </c:ext>
            </c:extLst>
          </c:dPt>
          <c:dPt>
            <c:idx val="4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758-4CFF-957E-83FF98075784}"/>
              </c:ext>
            </c:extLst>
          </c:dPt>
          <c:dLbls>
            <c:dLbl>
              <c:idx val="0"/>
              <c:layout>
                <c:manualLayout>
                  <c:x val="-7.180409188879089E-3"/>
                  <c:y val="-0.1103091642080720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758-4CFF-957E-83FF9807578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758-4CFF-957E-83FF9807578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863277207842887E-3"/>
                  <c:y val="-0.11810849059544437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758-4CFF-957E-83FF98075784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Graphs!$B$132:$B$136</c:f>
              <c:strCache>
                <c:ptCount val="5"/>
                <c:pt idx="0">
                  <c:v>Real Estate Taxes</c:v>
                </c:pt>
                <c:pt idx="1">
                  <c:v>Income Tax</c:v>
                </c:pt>
                <c:pt idx="2">
                  <c:v>Other Local</c:v>
                </c:pt>
                <c:pt idx="3">
                  <c:v>State Foundation</c:v>
                </c:pt>
                <c:pt idx="4">
                  <c:v>Other State</c:v>
                </c:pt>
              </c:strCache>
            </c:strRef>
          </c:cat>
          <c:val>
            <c:numRef>
              <c:f>Graphs!$G$132:$G$136</c:f>
              <c:numCache>
                <c:formatCode>_(* #,##0_);_(* \(#,##0\);_(* "-"_);_(@_)</c:formatCode>
                <c:ptCount val="5"/>
                <c:pt idx="0" formatCode="_(&quot;$&quot;* #,##0_);_(&quot;$&quot;* \(#,##0\);_(&quot;$&quot;* &quot;-&quot;_);_(@_)">
                  <c:v>11519571</c:v>
                </c:pt>
                <c:pt idx="1">
                  <c:v>0</c:v>
                </c:pt>
                <c:pt idx="2">
                  <c:v>2137525</c:v>
                </c:pt>
                <c:pt idx="3">
                  <c:v>19505987</c:v>
                </c:pt>
                <c:pt idx="4">
                  <c:v>2241868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758-4CFF-957E-83FF98075784}"/>
            </c:ext>
          </c:extLst>
        </c:ser>
        <c:dLbls>
          <c:showLegendKey val="1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>
      <a:gsLst>
        <a:gs pos="0">
          <a:srgbClr val="8488C4"/>
        </a:gs>
        <a:gs pos="7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-4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Graphs!$B$169</c:f>
          <c:strCache>
            <c:ptCount val="1"/>
            <c:pt idx="0">
              <c:v>General Fund Estimated Revenues FY22 $ 32,453,599</c:v>
            </c:pt>
          </c:strCache>
        </c:strRef>
      </c:tx>
      <c:layout>
        <c:manualLayout>
          <c:xMode val="edge"/>
          <c:yMode val="edge"/>
          <c:x val="0.19659274663343143"/>
          <c:y val="2.02394355957447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title>
    <c:autoTitleDeleted val="0"/>
    <c:view3D>
      <c:rotX val="30"/>
      <c:rotY val="3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436989039754744E-3"/>
          <c:y val="0.10980316830509915"/>
          <c:w val="0.9969563068274423"/>
          <c:h val="0.8364000645627627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explosion val="0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240-4218-A81D-2E8E6EF5A29B}"/>
              </c:ext>
            </c:extLst>
          </c:dPt>
          <c:dPt>
            <c:idx val="1"/>
            <c:bubble3D val="0"/>
            <c:explosion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explosion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explosion val="0"/>
            <c:spPr>
              <a:solidFill>
                <a:srgbClr val="58D30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9385448926157578"/>
                  <c:y val="-0.155965700317924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240-4218-A81D-2E8E6EF5A29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112515980639955E-2"/>
                  <c:y val="-2.80738260572265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240-4218-A81D-2E8E6EF5A29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2638950843834363"/>
                  <c:y val="-5.718676282354154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240-4218-A81D-2E8E6EF5A29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756890181607959E-2"/>
                  <c:y val="2.8073826057226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240-4218-A81D-2E8E6EF5A29B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Graphs!$B$132:$B$136</c15:sqref>
                  </c15:fullRef>
                </c:ext>
              </c:extLst>
              <c:f>(Graphs!$B$132,Graphs!$B$134:$B$136)</c:f>
              <c:strCache>
                <c:ptCount val="4"/>
                <c:pt idx="0">
                  <c:v>Real Estate Taxes</c:v>
                </c:pt>
                <c:pt idx="1">
                  <c:v>Other Local</c:v>
                </c:pt>
                <c:pt idx="2">
                  <c:v>State Foundation</c:v>
                </c:pt>
                <c:pt idx="3">
                  <c:v>Other State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Graphs!$H$132:$H$136</c15:sqref>
                  </c15:fullRef>
                </c:ext>
              </c:extLst>
              <c:f>(Graphs!$H$132,Graphs!$H$134:$H$136)</c:f>
              <c:numCache>
                <c:formatCode>_(* #,##0_);_(* \(#,##0\);_(* "-"_);_(@_)</c:formatCode>
                <c:ptCount val="4"/>
                <c:pt idx="0" formatCode="_(&quot;$&quot;* #,##0_);_(&quot;$&quot;* \(#,##0\);_(&quot;$&quot;* &quot;-&quot;_);_(@_)">
                  <c:v>11555835</c:v>
                </c:pt>
                <c:pt idx="1">
                  <c:v>1205805</c:v>
                </c:pt>
                <c:pt idx="2">
                  <c:v>17679875</c:v>
                </c:pt>
                <c:pt idx="3">
                  <c:v>2012084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240-4218-A81D-2E8E6EF5A29B}"/>
            </c:ext>
            <c:ext xmlns:c15="http://schemas.microsoft.com/office/drawing/2012/chart" uri="{02D57815-91ED-43cb-92C2-25804820EDAC}">
              <c15:categoryFilterExceptions>
                <c15:categoryFilterException>
                  <c15:sqref>Graphs!$H$133</c15:sqref>
                  <c15:spPr xmlns:c15="http://schemas.microsoft.com/office/drawing/2012/chart">
                    <a:solidFill>
                      <a:srgbClr val="FF9900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explosion val="1"/>
                  <c15:bubble3D val="0"/>
                </c15:categoryFilterException>
              </c15:categoryFilterExceptions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>
      <a:gsLst>
        <a:gs pos="0">
          <a:srgbClr val="8488C4"/>
        </a:gs>
        <a:gs pos="7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Graphs!$B$235</c:f>
          <c:strCache>
            <c:ptCount val="1"/>
            <c:pt idx="0">
              <c:v>General Fund Operating Expenditures Estimated FY21 $36,152,637</c:v>
            </c:pt>
          </c:strCache>
        </c:strRef>
      </c:tx>
      <c:layout>
        <c:manualLayout>
          <c:xMode val="edge"/>
          <c:yMode val="edge"/>
          <c:x val="0.10780732637255006"/>
          <c:y val="4.166660201957513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title>
    <c:autoTitleDeleted val="0"/>
    <c:view3D>
      <c:rotX val="30"/>
      <c:rotY val="3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565891472868016"/>
          <c:y val="0.28175581500588287"/>
          <c:w val="0.55909150387534767"/>
          <c:h val="0.64415448068991399"/>
        </c:manualLayout>
      </c:layout>
      <c:pie3DChart>
        <c:varyColors val="1"/>
        <c:ser>
          <c:idx val="0"/>
          <c:order val="0"/>
          <c:tx>
            <c:strRef>
              <c:f>Graphs!$B$201:$B$207</c:f>
              <c:strCache>
                <c:ptCount val="7"/>
                <c:pt idx="0">
                  <c:v>Wages</c:v>
                </c:pt>
                <c:pt idx="1">
                  <c:v>Benefits</c:v>
                </c:pt>
                <c:pt idx="2">
                  <c:v>Services</c:v>
                </c:pt>
                <c:pt idx="3">
                  <c:v>Materials</c:v>
                </c:pt>
                <c:pt idx="4">
                  <c:v>Capital</c:v>
                </c:pt>
                <c:pt idx="5">
                  <c:v>Other</c:v>
                </c:pt>
                <c:pt idx="6">
                  <c:v>Debt Pmts.</c:v>
                </c:pt>
              </c:strCache>
            </c:strRef>
          </c:tx>
          <c:explosion val="1"/>
          <c:dLbls>
            <c:dLbl>
              <c:idx val="0"/>
              <c:layout>
                <c:manualLayout>
                  <c:x val="7.8246286071936386E-2"/>
                  <c:y val="-2.26949167585936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Wages
50%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355-4EE3-82DF-704166347BF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718695874539679E-2"/>
                  <c:y val="1.64203612479474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Services
18%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355-4EE3-82DF-704166347BF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356095047115666E-2"/>
                  <c:y val="5.03161242775687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Benefits
24%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355-4EE3-82DF-704166347BF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Material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355-4EE3-82DF-704166347BF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Capital
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355-4EE3-82DF-704166347BF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6856420949845192E-2"/>
                  <c:y val="-0.1013909493197408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
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355-4EE3-82DF-704166347BF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9440017937837005E-2"/>
                  <c:y val="-4.78438383607845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Debt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355-4EE3-82DF-704166347BF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1646050610940355"/>
                  <c:y val="-0.131270873749476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355-4EE3-82DF-704166347BF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Graphs!$E$201:$E$207</c:f>
              <c:numCache>
                <c:formatCode>#,##0</c:formatCode>
                <c:ptCount val="7"/>
                <c:pt idx="0" formatCode="&quot;$&quot;#,##0">
                  <c:v>17188441</c:v>
                </c:pt>
                <c:pt idx="1">
                  <c:v>10070631</c:v>
                </c:pt>
                <c:pt idx="2">
                  <c:v>7401420</c:v>
                </c:pt>
                <c:pt idx="3">
                  <c:v>906334</c:v>
                </c:pt>
                <c:pt idx="4">
                  <c:v>221228</c:v>
                </c:pt>
                <c:pt idx="5">
                  <c:v>364583</c:v>
                </c:pt>
                <c:pt idx="6" formatCode="&quot;$&quot;#,##0_);\(&quot;$&quot;#,##0\)">
                  <c:v>0</c:v>
                </c:pt>
              </c:numCache>
            </c:numRef>
          </c:cat>
          <c:val>
            <c:numRef>
              <c:f>Graphs!$E$201:$E$207</c:f>
              <c:numCache>
                <c:formatCode>#,##0</c:formatCode>
                <c:ptCount val="7"/>
                <c:pt idx="0" formatCode="&quot;$&quot;#,##0">
                  <c:v>17188441</c:v>
                </c:pt>
                <c:pt idx="1">
                  <c:v>10070631</c:v>
                </c:pt>
                <c:pt idx="2">
                  <c:v>7401420</c:v>
                </c:pt>
                <c:pt idx="3">
                  <c:v>906334</c:v>
                </c:pt>
                <c:pt idx="4">
                  <c:v>221228</c:v>
                </c:pt>
                <c:pt idx="5">
                  <c:v>364583</c:v>
                </c:pt>
                <c:pt idx="6" formatCode="&quot;$&quot;#,##0_);\(&quot;$&quot;#,##0\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355-4EE3-82DF-704166347BF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-4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Graphs!$B$236</c:f>
          <c:strCache>
            <c:ptCount val="1"/>
            <c:pt idx="0">
              <c:v>General Fund Operating Expenditures Estimated FY22 $33,937,065</c:v>
            </c:pt>
          </c:strCache>
        </c:strRef>
      </c:tx>
      <c:layout>
        <c:manualLayout>
          <c:xMode val="edge"/>
          <c:yMode val="edge"/>
          <c:x val="0.10998657484852825"/>
          <c:y val="6.057399734192246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en-US"/>
        </a:p>
      </c:txPr>
    </c:title>
    <c:autoTitleDeleted val="0"/>
    <c:view3D>
      <c:rotX val="30"/>
      <c:rotY val="126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51681932615569"/>
          <c:y val="0.21775530044680438"/>
          <c:w val="0.58798657899720441"/>
          <c:h val="0.685976041791687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A4B-45B3-AB0A-89C27658526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A4B-45B3-AB0A-89C276585264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A4B-45B3-AB0A-89C276585264}"/>
              </c:ext>
            </c:extLst>
          </c:dPt>
          <c:dPt>
            <c:idx val="3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A4B-45B3-AB0A-89C276585264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A4B-45B3-AB0A-89C276585264}"/>
              </c:ext>
            </c:extLst>
          </c:dPt>
          <c:dPt>
            <c:idx val="5"/>
            <c:bubble3D val="0"/>
            <c:spPr>
              <a:solidFill>
                <a:schemeClr val="accent3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A4B-45B3-AB0A-89C276585264}"/>
              </c:ext>
            </c:extLst>
          </c:dPt>
          <c:dLbls>
            <c:dLbl>
              <c:idx val="0"/>
              <c:layout>
                <c:manualLayout>
                  <c:x val="9.4457823560248885E-2"/>
                  <c:y val="-0.241718296274635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A4B-45B3-AB0A-89C27658526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1013239282465071E-2"/>
                  <c:y val="0.170627315312525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A4B-45B3-AB0A-89C27658526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727960855872108E-2"/>
                  <c:y val="1.4935977872154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A4B-45B3-AB0A-89C27658526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200874332410904E-2"/>
                  <c:y val="-4.38158603928684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A4B-45B3-AB0A-89C27658526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2331683530106933E-2"/>
                  <c:y val="3.56594914126809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A4B-45B3-AB0A-89C27658526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9555094047991034E-3"/>
                  <c:y val="6.3788558495336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A4B-45B3-AB0A-89C27658526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3C3-437E-B897-3C8CDB59F50C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Graphs!$B$201:$B$207</c:f>
              <c:strCache>
                <c:ptCount val="7"/>
                <c:pt idx="0">
                  <c:v>Wages</c:v>
                </c:pt>
                <c:pt idx="1">
                  <c:v>Benefits</c:v>
                </c:pt>
                <c:pt idx="2">
                  <c:v>Services</c:v>
                </c:pt>
                <c:pt idx="3">
                  <c:v>Materials</c:v>
                </c:pt>
                <c:pt idx="4">
                  <c:v>Capital</c:v>
                </c:pt>
                <c:pt idx="5">
                  <c:v>Other</c:v>
                </c:pt>
                <c:pt idx="6">
                  <c:v>Debt Pmts.</c:v>
                </c:pt>
              </c:strCache>
            </c:strRef>
          </c:cat>
          <c:val>
            <c:numRef>
              <c:f>Graphs!$F$201:$F$207</c:f>
              <c:numCache>
                <c:formatCode>#,##0</c:formatCode>
                <c:ptCount val="7"/>
                <c:pt idx="0" formatCode="&quot;$&quot;#,##0">
                  <c:v>17339955</c:v>
                </c:pt>
                <c:pt idx="1">
                  <c:v>11450289</c:v>
                </c:pt>
                <c:pt idx="2">
                  <c:v>3758656</c:v>
                </c:pt>
                <c:pt idx="3">
                  <c:v>652926</c:v>
                </c:pt>
                <c:pt idx="4">
                  <c:v>323735</c:v>
                </c:pt>
                <c:pt idx="5">
                  <c:v>411504</c:v>
                </c:pt>
                <c:pt idx="6" formatCode="_(* #,##0_);_(* \(#,##0\);_(* &quot;-&quot;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A4B-45B3-AB0A-89C2765852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>
      <a:gsLst>
        <a:gs pos="0">
          <a:srgbClr val="8488C4"/>
        </a:gs>
        <a:gs pos="7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-4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21276595744694"/>
          <c:y val="0.15321297419167679"/>
          <c:w val="0.70357714975550456"/>
          <c:h val="0.776196446160070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Graphs!$B$277</c:f>
              <c:strCache>
                <c:ptCount val="1"/>
                <c:pt idx="0">
                  <c:v>Wages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Graphs!$C$276:$J$276</c:f>
              <c:strCache>
                <c:ptCount val="8"/>
                <c:pt idx="0">
                  <c:v>Act 19</c:v>
                </c:pt>
                <c:pt idx="1">
                  <c:v>Act 20</c:v>
                </c:pt>
                <c:pt idx="2">
                  <c:v>Act 21</c:v>
                </c:pt>
                <c:pt idx="3">
                  <c:v>Est 22</c:v>
                </c:pt>
                <c:pt idx="4">
                  <c:v>Est 23</c:v>
                </c:pt>
                <c:pt idx="5">
                  <c:v>Est 24</c:v>
                </c:pt>
                <c:pt idx="6">
                  <c:v>Est 25</c:v>
                </c:pt>
                <c:pt idx="7">
                  <c:v>Est 26</c:v>
                </c:pt>
              </c:strCache>
            </c:strRef>
          </c:cat>
          <c:val>
            <c:numRef>
              <c:f>Graphs!$C$277:$J$277</c:f>
              <c:numCache>
                <c:formatCode>"$"#,##0</c:formatCode>
                <c:ptCount val="8"/>
                <c:pt idx="0">
                  <c:v>16205353</c:v>
                </c:pt>
                <c:pt idx="1">
                  <c:v>16810475</c:v>
                </c:pt>
                <c:pt idx="2">
                  <c:v>17188441</c:v>
                </c:pt>
                <c:pt idx="3">
                  <c:v>17339955</c:v>
                </c:pt>
                <c:pt idx="4">
                  <c:v>17958872</c:v>
                </c:pt>
                <c:pt idx="5">
                  <c:v>18600999</c:v>
                </c:pt>
                <c:pt idx="6">
                  <c:v>18911895</c:v>
                </c:pt>
                <c:pt idx="7">
                  <c:v>19228232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04-4318-900A-4346C50AC5F6}"/>
            </c:ext>
          </c:extLst>
        </c:ser>
        <c:ser>
          <c:idx val="1"/>
          <c:order val="1"/>
          <c:tx>
            <c:strRef>
              <c:f>Graphs!$B$278</c:f>
              <c:strCache>
                <c:ptCount val="1"/>
                <c:pt idx="0">
                  <c:v>Benefits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Graphs!$C$276:$J$276</c:f>
              <c:strCache>
                <c:ptCount val="8"/>
                <c:pt idx="0">
                  <c:v>Act 19</c:v>
                </c:pt>
                <c:pt idx="1">
                  <c:v>Act 20</c:v>
                </c:pt>
                <c:pt idx="2">
                  <c:v>Act 21</c:v>
                </c:pt>
                <c:pt idx="3">
                  <c:v>Est 22</c:v>
                </c:pt>
                <c:pt idx="4">
                  <c:v>Est 23</c:v>
                </c:pt>
                <c:pt idx="5">
                  <c:v>Est 24</c:v>
                </c:pt>
                <c:pt idx="6">
                  <c:v>Est 25</c:v>
                </c:pt>
                <c:pt idx="7">
                  <c:v>Est 26</c:v>
                </c:pt>
              </c:strCache>
            </c:strRef>
          </c:cat>
          <c:val>
            <c:numRef>
              <c:f>Graphs!$C$278:$J$278</c:f>
              <c:numCache>
                <c:formatCode>#,##0</c:formatCode>
                <c:ptCount val="8"/>
                <c:pt idx="0">
                  <c:v>9141807</c:v>
                </c:pt>
                <c:pt idx="1">
                  <c:v>9594127</c:v>
                </c:pt>
                <c:pt idx="2">
                  <c:v>10070631</c:v>
                </c:pt>
                <c:pt idx="3">
                  <c:v>11450289</c:v>
                </c:pt>
                <c:pt idx="4">
                  <c:v>11855301</c:v>
                </c:pt>
                <c:pt idx="5">
                  <c:v>12274763</c:v>
                </c:pt>
                <c:pt idx="6">
                  <c:v>12631454</c:v>
                </c:pt>
                <c:pt idx="7">
                  <c:v>13082841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04-4318-900A-4346C50AC5F6}"/>
            </c:ext>
          </c:extLst>
        </c:ser>
        <c:ser>
          <c:idx val="2"/>
          <c:order val="2"/>
          <c:tx>
            <c:strRef>
              <c:f>Graphs!$B$279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Graphs!$C$276:$J$276</c:f>
              <c:strCache>
                <c:ptCount val="8"/>
                <c:pt idx="0">
                  <c:v>Act 19</c:v>
                </c:pt>
                <c:pt idx="1">
                  <c:v>Act 20</c:v>
                </c:pt>
                <c:pt idx="2">
                  <c:v>Act 21</c:v>
                </c:pt>
                <c:pt idx="3">
                  <c:v>Est 22</c:v>
                </c:pt>
                <c:pt idx="4">
                  <c:v>Est 23</c:v>
                </c:pt>
                <c:pt idx="5">
                  <c:v>Est 24</c:v>
                </c:pt>
                <c:pt idx="6">
                  <c:v>Est 25</c:v>
                </c:pt>
                <c:pt idx="7">
                  <c:v>Est 26</c:v>
                </c:pt>
              </c:strCache>
            </c:strRef>
          </c:cat>
          <c:val>
            <c:numRef>
              <c:f>Graphs!$C$279:$J$279</c:f>
              <c:numCache>
                <c:formatCode>#,##0</c:formatCode>
                <c:ptCount val="8"/>
                <c:pt idx="0">
                  <c:v>7217183</c:v>
                </c:pt>
                <c:pt idx="1">
                  <c:v>7165014</c:v>
                </c:pt>
                <c:pt idx="2">
                  <c:v>7401420</c:v>
                </c:pt>
                <c:pt idx="3">
                  <c:v>3758656</c:v>
                </c:pt>
                <c:pt idx="4">
                  <c:v>3782202</c:v>
                </c:pt>
                <c:pt idx="5">
                  <c:v>3806327</c:v>
                </c:pt>
                <c:pt idx="6">
                  <c:v>3831047</c:v>
                </c:pt>
                <c:pt idx="7">
                  <c:v>3856378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A04-4318-900A-4346C50AC5F6}"/>
            </c:ext>
          </c:extLst>
        </c:ser>
        <c:ser>
          <c:idx val="3"/>
          <c:order val="3"/>
          <c:tx>
            <c:strRef>
              <c:f>Graphs!$B$280</c:f>
              <c:strCache>
                <c:ptCount val="1"/>
                <c:pt idx="0">
                  <c:v>Material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Graphs!$C$276:$J$276</c:f>
              <c:strCache>
                <c:ptCount val="8"/>
                <c:pt idx="0">
                  <c:v>Act 19</c:v>
                </c:pt>
                <c:pt idx="1">
                  <c:v>Act 20</c:v>
                </c:pt>
                <c:pt idx="2">
                  <c:v>Act 21</c:v>
                </c:pt>
                <c:pt idx="3">
                  <c:v>Est 22</c:v>
                </c:pt>
                <c:pt idx="4">
                  <c:v>Est 23</c:v>
                </c:pt>
                <c:pt idx="5">
                  <c:v>Est 24</c:v>
                </c:pt>
                <c:pt idx="6">
                  <c:v>Est 25</c:v>
                </c:pt>
                <c:pt idx="7">
                  <c:v>Est 26</c:v>
                </c:pt>
              </c:strCache>
            </c:strRef>
          </c:cat>
          <c:val>
            <c:numRef>
              <c:f>Graphs!$C$280:$J$280</c:f>
              <c:numCache>
                <c:formatCode>#,##0</c:formatCode>
                <c:ptCount val="8"/>
                <c:pt idx="0">
                  <c:v>914145</c:v>
                </c:pt>
                <c:pt idx="1">
                  <c:v>929926</c:v>
                </c:pt>
                <c:pt idx="2">
                  <c:v>906334</c:v>
                </c:pt>
                <c:pt idx="3">
                  <c:v>652926</c:v>
                </c:pt>
                <c:pt idx="4">
                  <c:v>657902</c:v>
                </c:pt>
                <c:pt idx="5">
                  <c:v>657902</c:v>
                </c:pt>
                <c:pt idx="6">
                  <c:v>657902</c:v>
                </c:pt>
                <c:pt idx="7">
                  <c:v>657902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A04-4318-900A-4346C50AC5F6}"/>
            </c:ext>
          </c:extLst>
        </c:ser>
        <c:ser>
          <c:idx val="4"/>
          <c:order val="4"/>
          <c:tx>
            <c:strRef>
              <c:f>Graphs!$B$281</c:f>
              <c:strCache>
                <c:ptCount val="1"/>
                <c:pt idx="0">
                  <c:v>Capital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Graphs!$C$276:$J$276</c:f>
              <c:strCache>
                <c:ptCount val="8"/>
                <c:pt idx="0">
                  <c:v>Act 19</c:v>
                </c:pt>
                <c:pt idx="1">
                  <c:v>Act 20</c:v>
                </c:pt>
                <c:pt idx="2">
                  <c:v>Act 21</c:v>
                </c:pt>
                <c:pt idx="3">
                  <c:v>Est 22</c:v>
                </c:pt>
                <c:pt idx="4">
                  <c:v>Est 23</c:v>
                </c:pt>
                <c:pt idx="5">
                  <c:v>Est 24</c:v>
                </c:pt>
                <c:pt idx="6">
                  <c:v>Est 25</c:v>
                </c:pt>
                <c:pt idx="7">
                  <c:v>Est 26</c:v>
                </c:pt>
              </c:strCache>
            </c:strRef>
          </c:cat>
          <c:val>
            <c:numRef>
              <c:f>Graphs!$C$281:$J$281</c:f>
              <c:numCache>
                <c:formatCode>#,##0</c:formatCode>
                <c:ptCount val="8"/>
                <c:pt idx="0">
                  <c:v>615808</c:v>
                </c:pt>
                <c:pt idx="1">
                  <c:v>505281</c:v>
                </c:pt>
                <c:pt idx="2">
                  <c:v>221228</c:v>
                </c:pt>
                <c:pt idx="3">
                  <c:v>323735</c:v>
                </c:pt>
                <c:pt idx="4">
                  <c:v>534775</c:v>
                </c:pt>
                <c:pt idx="5">
                  <c:v>536673</c:v>
                </c:pt>
                <c:pt idx="6">
                  <c:v>538590</c:v>
                </c:pt>
                <c:pt idx="7">
                  <c:v>540526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A04-4318-900A-4346C50AC5F6}"/>
            </c:ext>
          </c:extLst>
        </c:ser>
        <c:ser>
          <c:idx val="5"/>
          <c:order val="5"/>
          <c:tx>
            <c:strRef>
              <c:f>Graphs!$B$282</c:f>
              <c:strCache>
                <c:ptCount val="1"/>
                <c:pt idx="0">
                  <c:v>Other Expenses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Graphs!$C$276:$J$276</c:f>
              <c:strCache>
                <c:ptCount val="8"/>
                <c:pt idx="0">
                  <c:v>Act 19</c:v>
                </c:pt>
                <c:pt idx="1">
                  <c:v>Act 20</c:v>
                </c:pt>
                <c:pt idx="2">
                  <c:v>Act 21</c:v>
                </c:pt>
                <c:pt idx="3">
                  <c:v>Est 22</c:v>
                </c:pt>
                <c:pt idx="4">
                  <c:v>Est 23</c:v>
                </c:pt>
                <c:pt idx="5">
                  <c:v>Est 24</c:v>
                </c:pt>
                <c:pt idx="6">
                  <c:v>Est 25</c:v>
                </c:pt>
                <c:pt idx="7">
                  <c:v>Est 26</c:v>
                </c:pt>
              </c:strCache>
            </c:strRef>
          </c:cat>
          <c:val>
            <c:numRef>
              <c:f>Graphs!$C$282:$J$282</c:f>
              <c:numCache>
                <c:formatCode>#,##0</c:formatCode>
                <c:ptCount val="8"/>
                <c:pt idx="0">
                  <c:v>348692</c:v>
                </c:pt>
                <c:pt idx="1">
                  <c:v>385425</c:v>
                </c:pt>
                <c:pt idx="2">
                  <c:v>364583</c:v>
                </c:pt>
                <c:pt idx="3">
                  <c:v>411504</c:v>
                </c:pt>
                <c:pt idx="4">
                  <c:v>415620</c:v>
                </c:pt>
                <c:pt idx="5">
                  <c:v>419777</c:v>
                </c:pt>
                <c:pt idx="6">
                  <c:v>423976</c:v>
                </c:pt>
                <c:pt idx="7">
                  <c:v>428216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A04-4318-900A-4346C50AC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2"/>
        <c:overlap val="100"/>
        <c:axId val="-1451732848"/>
        <c:axId val="-1451733936"/>
      </c:barChart>
      <c:lineChart>
        <c:grouping val="standard"/>
        <c:varyColors val="0"/>
        <c:ser>
          <c:idx val="6"/>
          <c:order val="6"/>
          <c:tx>
            <c:strRef>
              <c:f>Graphs!$B$283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Graphs!$C$276:$J$276</c:f>
              <c:strCache>
                <c:ptCount val="8"/>
                <c:pt idx="0">
                  <c:v>Act 19</c:v>
                </c:pt>
                <c:pt idx="1">
                  <c:v>Act 20</c:v>
                </c:pt>
                <c:pt idx="2">
                  <c:v>Act 21</c:v>
                </c:pt>
                <c:pt idx="3">
                  <c:v>Est 22</c:v>
                </c:pt>
                <c:pt idx="4">
                  <c:v>Est 23</c:v>
                </c:pt>
                <c:pt idx="5">
                  <c:v>Est 24</c:v>
                </c:pt>
                <c:pt idx="6">
                  <c:v>Est 25</c:v>
                </c:pt>
                <c:pt idx="7">
                  <c:v>Est 26</c:v>
                </c:pt>
              </c:strCache>
            </c:strRef>
          </c:cat>
          <c:val>
            <c:numRef>
              <c:f>Graphs!$C$283:$J$283</c:f>
              <c:numCache>
                <c:formatCode>0.00%</c:formatCode>
                <c:ptCount val="8"/>
                <c:pt idx="0">
                  <c:v>0</c:v>
                </c:pt>
                <c:pt idx="1">
                  <c:v>2.7502259676192908E-2</c:v>
                </c:pt>
                <c:pt idx="2">
                  <c:v>2.1542346919976474E-2</c:v>
                </c:pt>
                <c:pt idx="3">
                  <c:v>-4.1061678912224675E-2</c:v>
                </c:pt>
                <c:pt idx="4">
                  <c:v>3.73516979149493E-2</c:v>
                </c:pt>
                <c:pt idx="5">
                  <c:v>3.1012048628091149E-2</c:v>
                </c:pt>
                <c:pt idx="6">
                  <c:v>1.9242189613025706E-2</c:v>
                </c:pt>
                <c:pt idx="7">
                  <c:v>2.1603836683924627E-2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A04-4318-900A-4346C50AC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51732848"/>
        <c:axId val="-1451733936"/>
      </c:lineChart>
      <c:catAx>
        <c:axId val="-145173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145173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517339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1451732848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91305774278217"/>
          <c:y val="0.31661445789992088"/>
          <c:w val="0.11294132807042531"/>
          <c:h val="0.5659995103648920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8488C4"/>
        </a:gs>
        <a:gs pos="7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-4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Graphs!$B$318</c:f>
          <c:strCache>
            <c:ptCount val="1"/>
            <c:pt idx="0">
              <c:v>General Fund Revenues With Replacement Levies Vs. Expenditures FY22  through FY26</c:v>
            </c:pt>
          </c:strCache>
        </c:strRef>
      </c:tx>
      <c:layout>
        <c:manualLayout>
          <c:xMode val="edge"/>
          <c:yMode val="edge"/>
          <c:x val="0.16037466755455848"/>
          <c:y val="3.55402626549626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+mn-lt"/>
              <a:ea typeface="Verdana"/>
              <a:cs typeface="Verdana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13933851109743"/>
          <c:y val="0.12454023947568936"/>
          <c:w val="0.82645288201467348"/>
          <c:h val="0.705597783601789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Graphs!$E$321</c:f>
              <c:strCache>
                <c:ptCount val="1"/>
                <c:pt idx="0">
                  <c:v>Revenue W/Renewal and New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Graphs!$F$320:$J$320</c:f>
              <c:strCache>
                <c:ptCount val="5"/>
                <c:pt idx="0">
                  <c:v>Est 22</c:v>
                </c:pt>
                <c:pt idx="1">
                  <c:v>Est 23</c:v>
                </c:pt>
                <c:pt idx="2">
                  <c:v>Est 24</c:v>
                </c:pt>
                <c:pt idx="3">
                  <c:v>Est 25</c:v>
                </c:pt>
                <c:pt idx="4">
                  <c:v>Est 26</c:v>
                </c:pt>
              </c:strCache>
            </c:strRef>
          </c:cat>
          <c:val>
            <c:numRef>
              <c:f>Graphs!$F$321:$J$321</c:f>
              <c:numCache>
                <c:formatCode>"$"#,##0</c:formatCode>
                <c:ptCount val="5"/>
                <c:pt idx="0">
                  <c:v>32857680</c:v>
                </c:pt>
                <c:pt idx="1">
                  <c:v>34029443</c:v>
                </c:pt>
                <c:pt idx="2">
                  <c:v>34100467</c:v>
                </c:pt>
                <c:pt idx="3">
                  <c:v>34029626</c:v>
                </c:pt>
                <c:pt idx="4">
                  <c:v>34162118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9B-4F63-91E2-2FA65D30BD3C}"/>
            </c:ext>
          </c:extLst>
        </c:ser>
        <c:ser>
          <c:idx val="1"/>
          <c:order val="1"/>
          <c:tx>
            <c:strRef>
              <c:f>Graphs!$E$322</c:f>
              <c:strCache>
                <c:ptCount val="1"/>
                <c:pt idx="0">
                  <c:v>Revenue Without Renewal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Graphs!$F$320:$J$320</c:f>
              <c:strCache>
                <c:ptCount val="5"/>
                <c:pt idx="0">
                  <c:v>Est 22</c:v>
                </c:pt>
                <c:pt idx="1">
                  <c:v>Est 23</c:v>
                </c:pt>
                <c:pt idx="2">
                  <c:v>Est 24</c:v>
                </c:pt>
                <c:pt idx="3">
                  <c:v>Est 25</c:v>
                </c:pt>
                <c:pt idx="4">
                  <c:v>Est 26</c:v>
                </c:pt>
              </c:strCache>
            </c:strRef>
          </c:cat>
          <c:val>
            <c:numRef>
              <c:f>Graphs!$F$322:$J$322</c:f>
              <c:numCache>
                <c:formatCode>"$"#,##0</c:formatCode>
                <c:ptCount val="5"/>
                <c:pt idx="0">
                  <c:v>32857680</c:v>
                </c:pt>
                <c:pt idx="1">
                  <c:v>33125772</c:v>
                </c:pt>
                <c:pt idx="2">
                  <c:v>32314991</c:v>
                </c:pt>
                <c:pt idx="3">
                  <c:v>32244150</c:v>
                </c:pt>
                <c:pt idx="4">
                  <c:v>32376642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19B-4F63-91E2-2FA65D30BD3C}"/>
            </c:ext>
          </c:extLst>
        </c:ser>
        <c:ser>
          <c:idx val="2"/>
          <c:order val="2"/>
          <c:tx>
            <c:strRef>
              <c:f>Graphs!$E$323</c:f>
              <c:strCache>
                <c:ptCount val="1"/>
                <c:pt idx="0">
                  <c:v>Expenditures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Graphs!$F$320:$J$320</c:f>
              <c:strCache>
                <c:ptCount val="5"/>
                <c:pt idx="0">
                  <c:v>Est 22</c:v>
                </c:pt>
                <c:pt idx="1">
                  <c:v>Est 23</c:v>
                </c:pt>
                <c:pt idx="2">
                  <c:v>Est 24</c:v>
                </c:pt>
                <c:pt idx="3">
                  <c:v>Est 25</c:v>
                </c:pt>
                <c:pt idx="4">
                  <c:v>Est 26</c:v>
                </c:pt>
              </c:strCache>
            </c:strRef>
          </c:cat>
          <c:val>
            <c:numRef>
              <c:f>Graphs!$F$323:$J$323</c:f>
              <c:numCache>
                <c:formatCode>"$"#,##0</c:formatCode>
                <c:ptCount val="5"/>
                <c:pt idx="0">
                  <c:v>33937065</c:v>
                </c:pt>
                <c:pt idx="1">
                  <c:v>35204672</c:v>
                </c:pt>
                <c:pt idx="2">
                  <c:v>36296441</c:v>
                </c:pt>
                <c:pt idx="3">
                  <c:v>36994864</c:v>
                </c:pt>
                <c:pt idx="4">
                  <c:v>37794095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19B-4F63-91E2-2FA65D30B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1455568"/>
        <c:axId val="-1031056960"/>
      </c:barChart>
      <c:lineChart>
        <c:grouping val="standard"/>
        <c:varyColors val="0"/>
        <c:ser>
          <c:idx val="3"/>
          <c:order val="3"/>
          <c:tx>
            <c:strRef>
              <c:f>Graphs!$E$324</c:f>
              <c:strCache>
                <c:ptCount val="1"/>
                <c:pt idx="0">
                  <c:v>Ending Cash Balances Without Levy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pPr>
              <a:ln w="38100"/>
            </c:spPr>
          </c:marker>
          <c:dPt>
            <c:idx val="1"/>
            <c:marker>
              <c:spPr>
                <a:ln w="38100">
                  <a:solidFill>
                    <a:srgbClr val="FF0000"/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430-422E-B015-EDB4B33B1C0C}"/>
              </c:ext>
            </c:extLst>
          </c:dPt>
          <c:dPt>
            <c:idx val="2"/>
            <c:marker>
              <c:spPr>
                <a:ln w="38100">
                  <a:solidFill>
                    <a:srgbClr val="FF0000"/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430-422E-B015-EDB4B33B1C0C}"/>
              </c:ext>
            </c:extLst>
          </c:dPt>
          <c:dPt>
            <c:idx val="3"/>
            <c:marker>
              <c:spPr>
                <a:ln w="38100">
                  <a:solidFill>
                    <a:srgbClr val="FF0000"/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4430-422E-B015-EDB4B33B1C0C}"/>
              </c:ext>
            </c:extLst>
          </c:dPt>
          <c:dPt>
            <c:idx val="4"/>
            <c:marker>
              <c:spPr>
                <a:ln w="38100">
                  <a:solidFill>
                    <a:srgbClr val="FF0000"/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4430-422E-B015-EDB4B33B1C0C}"/>
              </c:ext>
            </c:extLst>
          </c:dPt>
          <c:cat>
            <c:strRef>
              <c:f>Graphs!$F$320:$J$320</c:f>
              <c:strCache>
                <c:ptCount val="5"/>
                <c:pt idx="0">
                  <c:v>Est 22</c:v>
                </c:pt>
                <c:pt idx="1">
                  <c:v>Est 23</c:v>
                </c:pt>
                <c:pt idx="2">
                  <c:v>Est 24</c:v>
                </c:pt>
                <c:pt idx="3">
                  <c:v>Est 25</c:v>
                </c:pt>
                <c:pt idx="4">
                  <c:v>Est 26</c:v>
                </c:pt>
              </c:strCache>
            </c:strRef>
          </c:cat>
          <c:val>
            <c:numRef>
              <c:f>Graphs!$F$324:$J$324</c:f>
              <c:numCache>
                <c:formatCode>"$"#,##0</c:formatCode>
                <c:ptCount val="5"/>
                <c:pt idx="0">
                  <c:v>5417966</c:v>
                </c:pt>
                <c:pt idx="1">
                  <c:v>3304066</c:v>
                </c:pt>
                <c:pt idx="2">
                  <c:v>-712384</c:v>
                </c:pt>
                <c:pt idx="3">
                  <c:v>-5498098</c:v>
                </c:pt>
                <c:pt idx="4">
                  <c:v>-10950551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430-422E-B015-EDB4B33B1C0C}"/>
            </c:ext>
          </c:extLst>
        </c:ser>
        <c:ser>
          <c:idx val="4"/>
          <c:order val="4"/>
          <c:tx>
            <c:strRef>
              <c:f>Graphs!$E$325</c:f>
              <c:strCache>
                <c:ptCount val="1"/>
                <c:pt idx="0">
                  <c:v>Ending Cash Balances</c:v>
                </c:pt>
              </c:strCache>
            </c:strRef>
          </c:tx>
          <c:spPr>
            <a:ln>
              <a:solidFill>
                <a:srgbClr val="58D304"/>
              </a:solidFill>
            </a:ln>
          </c:spPr>
          <c:cat>
            <c:strRef>
              <c:f>Graphs!$F$320:$J$320</c:f>
              <c:strCache>
                <c:ptCount val="5"/>
                <c:pt idx="0">
                  <c:v>Est 22</c:v>
                </c:pt>
                <c:pt idx="1">
                  <c:v>Est 23</c:v>
                </c:pt>
                <c:pt idx="2">
                  <c:v>Est 24</c:v>
                </c:pt>
                <c:pt idx="3">
                  <c:v>Est 25</c:v>
                </c:pt>
                <c:pt idx="4">
                  <c:v>Est 26</c:v>
                </c:pt>
              </c:strCache>
            </c:strRef>
          </c:cat>
          <c:val>
            <c:numRef>
              <c:f>Graphs!$F$325:$J$325</c:f>
              <c:numCache>
                <c:formatCode>"$"#,##0</c:formatCode>
                <c:ptCount val="5"/>
                <c:pt idx="0">
                  <c:v>5417966</c:v>
                </c:pt>
                <c:pt idx="1">
                  <c:v>4207737</c:v>
                </c:pt>
                <c:pt idx="2">
                  <c:v>1976763</c:v>
                </c:pt>
                <c:pt idx="3">
                  <c:v>-1023475</c:v>
                </c:pt>
                <c:pt idx="4">
                  <c:v>-4690452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430-422E-B015-EDB4B33B1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81455568"/>
        <c:axId val="-1031056960"/>
      </c:lineChart>
      <c:catAx>
        <c:axId val="-128145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1031056960"/>
        <c:crosses val="autoZero"/>
        <c:auto val="1"/>
        <c:lblAlgn val="ctr"/>
        <c:lblOffset val="20"/>
        <c:tickLblSkip val="1"/>
        <c:tickMarkSkip val="1"/>
        <c:noMultiLvlLbl val="0"/>
      </c:catAx>
      <c:valAx>
        <c:axId val="-1031056960"/>
        <c:scaling>
          <c:orientation val="minMax"/>
          <c:max val="45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1281455568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996038018038242E-2"/>
          <c:y val="0.86179827554951605"/>
          <c:w val="0.88484704418030258"/>
          <c:h val="0.12252228301721015"/>
        </c:manualLayout>
      </c:layout>
      <c:overlay val="0"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8488C4"/>
        </a:gs>
        <a:gs pos="7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-4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Graphs!$B$359</c:f>
          <c:strCache>
            <c:ptCount val="1"/>
            <c:pt idx="0">
              <c:v>GENERAL FUND Health Insurance FY19 Through FY26</c:v>
            </c:pt>
          </c:strCache>
        </c:strRef>
      </c:tx>
      <c:layout>
        <c:manualLayout>
          <c:xMode val="edge"/>
          <c:yMode val="edge"/>
          <c:x val="0.30274499692576484"/>
          <c:y val="2.05503196126745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454560950427389"/>
          <c:y val="0.11271009608741778"/>
          <c:w val="0.81090981082192015"/>
          <c:h val="0.774582149707122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Graphs!$B$362</c:f>
              <c:strCache>
                <c:ptCount val="1"/>
                <c:pt idx="0">
                  <c:v>Health Insurance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trendline>
            <c:trendlineType val="linear"/>
            <c:dispRSqr val="0"/>
            <c:dispEq val="0"/>
          </c:trendline>
          <c:cat>
            <c:strRef>
              <c:f>Graphs!$C$361:$J$361</c:f>
              <c:strCache>
                <c:ptCount val="8"/>
                <c:pt idx="0">
                  <c:v>Act 19</c:v>
                </c:pt>
                <c:pt idx="1">
                  <c:v>Act 20</c:v>
                </c:pt>
                <c:pt idx="2">
                  <c:v>Act 21</c:v>
                </c:pt>
                <c:pt idx="3">
                  <c:v>Est 22</c:v>
                </c:pt>
                <c:pt idx="4">
                  <c:v>Est 23</c:v>
                </c:pt>
                <c:pt idx="5">
                  <c:v>Est 24</c:v>
                </c:pt>
                <c:pt idx="6">
                  <c:v>Est 25</c:v>
                </c:pt>
                <c:pt idx="7">
                  <c:v>Est 26</c:v>
                </c:pt>
              </c:strCache>
            </c:strRef>
          </c:cat>
          <c:val>
            <c:numRef>
              <c:f>Graphs!$C$362:$J$362</c:f>
              <c:numCache>
                <c:formatCode>"$"#,###</c:formatCode>
                <c:ptCount val="8"/>
                <c:pt idx="0">
                  <c:v>0</c:v>
                </c:pt>
                <c:pt idx="1">
                  <c:v>5021909</c:v>
                </c:pt>
                <c:pt idx="2">
                  <c:v>5421813</c:v>
                </c:pt>
                <c:pt idx="3">
                  <c:v>5826631</c:v>
                </c:pt>
                <c:pt idx="4">
                  <c:v>7182001</c:v>
                </c:pt>
                <c:pt idx="5">
                  <c:v>7544101</c:v>
                </c:pt>
                <c:pt idx="6">
                  <c:v>7945279</c:v>
                </c:pt>
                <c:pt idx="7">
                  <c:v>8367415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EF-4909-AE22-06356B2A29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031054240"/>
        <c:axId val="-10310531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Graphs!$C$361:$J$361</c15:sqref>
                        </c15:formulaRef>
                      </c:ext>
                    </c:extLst>
                    <c:strCache>
                      <c:ptCount val="8"/>
                      <c:pt idx="0">
                        <c:v>Act 19</c:v>
                      </c:pt>
                      <c:pt idx="1">
                        <c:v>Act 20</c:v>
                      </c:pt>
                      <c:pt idx="2">
                        <c:v>Act 21</c:v>
                      </c:pt>
                      <c:pt idx="3">
                        <c:v>Est 22</c:v>
                      </c:pt>
                      <c:pt idx="4">
                        <c:v>Est 23</c:v>
                      </c:pt>
                      <c:pt idx="5">
                        <c:v>Est 24</c:v>
                      </c:pt>
                      <c:pt idx="6">
                        <c:v>Est 25</c:v>
                      </c:pt>
                      <c:pt idx="7">
                        <c:v>Est 26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Forecast!#REF!</c15:sqref>
                        </c15:formulaRef>
                      </c:ext>
                    </c:extLst>
                    <c:numCache>
                      <c:formatCode>"$"#,##0.00_);\("$"#,##0.00\)</c:formatCode>
                      <c:ptCount val="1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F4EF-4909-AE22-06356B2A29BC}"/>
                  </c:ext>
                </c:extLst>
              </c15:ser>
            </c15:filteredBarSeries>
          </c:ext>
        </c:extLst>
      </c:barChart>
      <c:catAx>
        <c:axId val="-103105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103105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31053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1031054240"/>
        <c:crosses val="autoZero"/>
        <c:crossBetween val="between"/>
        <c:majorUnit val="1000000"/>
      </c:valAx>
      <c:dTable>
        <c:showHorzBorder val="1"/>
        <c:showVertBorder val="1"/>
        <c:showOutline val="1"/>
        <c:showKeys val="1"/>
      </c:dTable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>
      <a:gsLst>
        <a:gs pos="0">
          <a:srgbClr val="8488C4"/>
        </a:gs>
        <a:gs pos="7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-4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jpe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2000249</xdr:colOff>
      <xdr:row>11</xdr:row>
      <xdr:rowOff>114300</xdr:rowOff>
    </xdr:from>
    <xdr:to>
      <xdr:col>4</xdr:col>
      <xdr:colOff>408020</xdr:colOff>
      <xdr:row>25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49" y="2143125"/>
          <a:ext cx="2408271" cy="219075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0.37349</cdr:x>
      <cdr:y>0.5269</cdr:y>
    </cdr:from>
    <cdr:to>
      <cdr:x>0.37349</cdr:x>
      <cdr:y>0.5269</cdr:y>
    </cdr:to>
    <cdr:sp macro="" textlink="">
      <cdr:nvSpPr>
        <cdr:cNvPr id="11" name="Text Box -10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4122" y="224227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General Fund Expenditures Act. FY05 Through Est. FY13</a:t>
          </a:r>
        </a:p>
      </cdr:txBody>
    </cdr:sp>
  </cdr:relSizeAnchor>
  <cdr:relSizeAnchor xmlns:cdr="http://schemas.openxmlformats.org/drawingml/2006/chartDrawing">
    <cdr:from>
      <cdr:x>0.37349</cdr:x>
      <cdr:y>0.5269</cdr:y>
    </cdr:from>
    <cdr:to>
      <cdr:x>0.37349</cdr:x>
      <cdr:y>0.5269</cdr:y>
    </cdr:to>
    <cdr:sp macro="" textlink="">
      <cdr:nvSpPr>
        <cdr:cNvPr id="2" name="Text Box -10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4122" y="224227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General</a:t>
          </a:r>
        </a:p>
      </cdr:txBody>
    </cdr:sp>
  </cdr:relSizeAnchor>
  <cdr:relSizeAnchor xmlns:cdr="http://schemas.openxmlformats.org/drawingml/2006/chartDrawing">
    <cdr:from>
      <cdr:x>0.15249</cdr:x>
      <cdr:y>0.03947</cdr:y>
    </cdr:from>
    <cdr:to>
      <cdr:x>0.86323</cdr:x>
      <cdr:y>0.10195</cdr:y>
    </cdr:to>
    <cdr:sp macro="" textlink="Graphs!$B$274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5461" y="173307"/>
          <a:ext cx="5199206" cy="274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5F801DD5-E622-4A8D-AEA9-7544E3B913F2}" type="TxLink">
            <a:rPr lang="en-US" sz="1600" b="1" i="0" strike="noStrike">
              <a:solidFill>
                <a:srgbClr val="000000"/>
              </a:solidFill>
              <a:latin typeface="+mn-lt"/>
              <a:ea typeface="Verdana"/>
              <a:cs typeface="Verdana"/>
            </a:rPr>
            <a:pPr algn="ctr" rtl="0">
              <a:defRPr sz="1000"/>
            </a:pPr>
            <a:t>General Fund Expenditures Actual FY19  Through Est. FY26</a:t>
          </a:fld>
          <a:endParaRPr lang="en-US" sz="1600" b="1" i="0" strike="noStrike">
            <a:solidFill>
              <a:srgbClr val="000000"/>
            </a:solidFill>
            <a:latin typeface="+mn-lt"/>
            <a:ea typeface="Verdana"/>
            <a:cs typeface="Verdana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0.67433</cdr:x>
      <cdr:y>0.10126</cdr:y>
    </cdr:from>
    <cdr:to>
      <cdr:x>0.67794</cdr:x>
      <cdr:y>0.14139</cdr:y>
    </cdr:to>
    <cdr:sp macro="" textlink="">
      <cdr:nvSpPr>
        <cdr:cNvPr id="13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11141" y="408004"/>
          <a:ext cx="36997" cy="1616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0.03872</cdr:x>
      <cdr:y>0.25816</cdr:y>
    </cdr:from>
    <cdr:to>
      <cdr:x>0.04632</cdr:x>
      <cdr:y>0.33532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9362" y="1003271"/>
          <a:ext cx="76581" cy="1710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0.09048</cdr:x>
      <cdr:y>0.11042</cdr:y>
    </cdr:from>
    <cdr:to>
      <cdr:x>0.10542</cdr:x>
      <cdr:y>0.18831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9070" y="689506"/>
          <a:ext cx="76581" cy="1710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0.30405</cdr:x>
      <cdr:y>0.07109</cdr:y>
    </cdr:from>
    <cdr:to>
      <cdr:x>0.71861</cdr:x>
      <cdr:y>0.14035</cdr:y>
    </cdr:to>
    <cdr:sp macro="" textlink="">
      <cdr:nvSpPr>
        <cdr:cNvPr id="4" name="Text Box -10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4057" y="302681"/>
          <a:ext cx="3291417" cy="2948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The fastest  growing area of budget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0.74644</cdr:x>
      <cdr:y>0.49491</cdr:y>
    </cdr:from>
    <cdr:to>
      <cdr:x>0.75001</cdr:x>
      <cdr:y>0.53712</cdr:y>
    </cdr:to>
    <cdr:sp macro="" textlink="">
      <cdr:nvSpPr>
        <cdr:cNvPr id="785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8379" y="1895024"/>
          <a:ext cx="36998" cy="1616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800" b="0" i="0" strike="noStrike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2171700</xdr:colOff>
      <xdr:row>48</xdr:row>
      <xdr:rowOff>38100</xdr:rowOff>
    </xdr:from>
    <xdr:to>
      <xdr:col>0</xdr:col>
      <xdr:colOff>2867025</xdr:colOff>
      <xdr:row>50</xdr:row>
      <xdr:rowOff>133350</xdr:rowOff>
    </xdr:to>
    <xdr:sp macro="" textlink="">
      <xdr:nvSpPr>
        <xdr:cNvPr id="19128" name="AutoShape 1"/>
        <xdr:cNvSpPr>
          <a:spLocks noChangeArrowheads="1"/>
        </xdr:cNvSpPr>
      </xdr:nvSpPr>
      <xdr:spPr bwMode="auto">
        <a:xfrm>
          <a:off x="2171700" y="7810500"/>
          <a:ext cx="695325" cy="419100"/>
        </a:xfrm>
        <a:prstGeom prst="rightArrow">
          <a:avLst>
            <a:gd name="adj1" fmla="val 50000"/>
            <a:gd name="adj2" fmla="val 41477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57</xdr:row>
      <xdr:rowOff>95250</xdr:rowOff>
    </xdr:from>
    <xdr:to>
      <xdr:col>0</xdr:col>
      <xdr:colOff>400050</xdr:colOff>
      <xdr:row>150</xdr:row>
      <xdr:rowOff>133350</xdr:rowOff>
    </xdr:to>
    <xdr:sp macro="" textlink="">
      <xdr:nvSpPr>
        <xdr:cNvPr id="49463" name="AutoShape 2"/>
        <xdr:cNvSpPr>
          <a:spLocks noChangeArrowheads="1"/>
        </xdr:cNvSpPr>
      </xdr:nvSpPr>
      <xdr:spPr bwMode="auto">
        <a:xfrm>
          <a:off x="19050" y="10001250"/>
          <a:ext cx="381000" cy="333375"/>
        </a:xfrm>
        <a:prstGeom prst="irregularSeal2">
          <a:avLst/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Geneva"/>
            </a:rPr>
            <a:t> </a:t>
          </a:r>
        </a:p>
      </xdr:txBody>
    </xdr:sp>
    <xdr:clientData/>
  </xdr:twoCellAnchor>
  <xdr:twoCellAnchor>
    <xdr:from>
      <xdr:col>0</xdr:col>
      <xdr:colOff>495300</xdr:colOff>
      <xdr:row>23</xdr:row>
      <xdr:rowOff>28575</xdr:rowOff>
    </xdr:from>
    <xdr:to>
      <xdr:col>0</xdr:col>
      <xdr:colOff>523875</xdr:colOff>
      <xdr:row>33</xdr:row>
      <xdr:rowOff>95250</xdr:rowOff>
    </xdr:to>
    <xdr:cxnSp macro="">
      <xdr:nvCxnSpPr>
        <xdr:cNvPr id="19130" name="AutoShape 7"/>
        <xdr:cNvCxnSpPr>
          <a:cxnSpLocks noChangeShapeType="1"/>
        </xdr:cNvCxnSpPr>
      </xdr:nvCxnSpPr>
      <xdr:spPr bwMode="auto">
        <a:xfrm flipV="1">
          <a:off x="495300" y="3752850"/>
          <a:ext cx="28575" cy="16859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</xdr:col>
      <xdr:colOff>552450</xdr:colOff>
      <xdr:row>59</xdr:row>
      <xdr:rowOff>28575</xdr:rowOff>
    </xdr:from>
    <xdr:to>
      <xdr:col>2</xdr:col>
      <xdr:colOff>238125</xdr:colOff>
      <xdr:row>118</xdr:row>
      <xdr:rowOff>28575</xdr:rowOff>
    </xdr:to>
    <xdr:cxnSp macro="">
      <xdr:nvCxnSpPr>
        <xdr:cNvPr id="19131" name="AutoShape 9"/>
        <xdr:cNvCxnSpPr>
          <a:cxnSpLocks noChangeShapeType="1"/>
        </xdr:cNvCxnSpPr>
      </xdr:nvCxnSpPr>
      <xdr:spPr bwMode="auto">
        <a:xfrm rot="5400000" flipH="1">
          <a:off x="4400550" y="9401175"/>
          <a:ext cx="0" cy="247650"/>
        </a:xfrm>
        <a:prstGeom prst="bentConnector3">
          <a:avLst>
            <a:gd name="adj1" fmla="val 49931"/>
          </a:avLst>
        </a:prstGeom>
        <a:noFill/>
        <a:ln w="38100">
          <a:solidFill>
            <a:srgbClr val="0000FF"/>
          </a:solidFill>
          <a:miter lim="800000"/>
          <a:headEnd type="triangle" w="med" len="med"/>
          <a:tailEnd type="triangle" w="med" len="med"/>
        </a:ln>
      </xdr:spPr>
    </xdr:cxnSp>
    <xdr:clientData/>
  </xdr:twoCellAnchor>
  <xdr:twoCellAnchor editAs="oneCell">
    <xdr:from>
      <xdr:col>0</xdr:col>
      <xdr:colOff>1695450</xdr:colOff>
      <xdr:row>24</xdr:row>
      <xdr:rowOff>57150</xdr:rowOff>
    </xdr:from>
    <xdr:to>
      <xdr:col>0</xdr:col>
      <xdr:colOff>2905125</xdr:colOff>
      <xdr:row>31</xdr:row>
      <xdr:rowOff>85725</xdr:rowOff>
    </xdr:to>
    <xdr:sp macro="" textlink="">
      <xdr:nvSpPr>
        <xdr:cNvPr id="49164" name="AutoShape 12"/>
        <xdr:cNvSpPr>
          <a:spLocks noChangeArrowheads="1"/>
        </xdr:cNvSpPr>
      </xdr:nvSpPr>
      <xdr:spPr bwMode="auto">
        <a:xfrm>
          <a:off x="1695450" y="3781425"/>
          <a:ext cx="1209675" cy="1162050"/>
        </a:xfrm>
        <a:prstGeom prst="wedgeRectCallout">
          <a:avLst>
            <a:gd name="adj1" fmla="val -143699"/>
            <a:gd name="adj2" fmla="val -5815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Geneva"/>
            </a:rPr>
            <a:t>NOTE!!!!!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Geneva"/>
            </a:rPr>
            <a:t>Assumes no CPI growth year to year for SDIT to be conservative in estimates</a:t>
          </a:r>
        </a:p>
      </xdr:txBody>
    </xdr:sp>
    <xdr:clientData/>
  </xdr:twoCellAnchor>
  <xdr:twoCellAnchor editAs="oneCell">
    <xdr:from>
      <xdr:col>7</xdr:col>
      <xdr:colOff>409575</xdr:colOff>
      <xdr:row>0</xdr:row>
      <xdr:rowOff>28575</xdr:rowOff>
    </xdr:from>
    <xdr:to>
      <xdr:col>7</xdr:col>
      <xdr:colOff>790575</xdr:colOff>
      <xdr:row>1</xdr:row>
      <xdr:rowOff>9007</xdr:rowOff>
    </xdr:to>
    <xdr:pic>
      <xdr:nvPicPr>
        <xdr:cNvPr id="7" name="Picture 6" descr="k12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86850" y="28575"/>
          <a:ext cx="381000" cy="1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</xdr:colOff>
      <xdr:row>53</xdr:row>
      <xdr:rowOff>152400</xdr:rowOff>
    </xdr:from>
    <xdr:to>
      <xdr:col>15</xdr:col>
      <xdr:colOff>0</xdr:colOff>
      <xdr:row>78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33336</xdr:colOff>
      <xdr:row>89</xdr:row>
      <xdr:rowOff>66675</xdr:rowOff>
    </xdr:from>
    <xdr:to>
      <xdr:col>14</xdr:col>
      <xdr:colOff>761999</xdr:colOff>
      <xdr:row>113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1881187</xdr:colOff>
      <xdr:row>123</xdr:row>
      <xdr:rowOff>38099</xdr:rowOff>
    </xdr:from>
    <xdr:to>
      <xdr:col>14</xdr:col>
      <xdr:colOff>790575</xdr:colOff>
      <xdr:row>153</xdr:row>
      <xdr:rowOff>47624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111</xdr:row>
      <xdr:rowOff>9525</xdr:rowOff>
    </xdr:from>
    <xdr:to>
      <xdr:col>1</xdr:col>
      <xdr:colOff>473235</xdr:colOff>
      <xdr:row>112</xdr:row>
      <xdr:rowOff>24399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9573875"/>
          <a:ext cx="377985" cy="1767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50</xdr:row>
      <xdr:rowOff>28575</xdr:rowOff>
    </xdr:from>
    <xdr:to>
      <xdr:col>2</xdr:col>
      <xdr:colOff>90819</xdr:colOff>
      <xdr:row>51</xdr:row>
      <xdr:rowOff>54492</xdr:rowOff>
    </xdr:to>
    <xdr:sp macro="" textlink="">
      <xdr:nvSpPr>
        <xdr:cNvPr id="2" name="Right Arrow 1"/>
        <xdr:cNvSpPr/>
      </xdr:nvSpPr>
      <xdr:spPr bwMode="auto">
        <a:xfrm>
          <a:off x="3962400" y="9553575"/>
          <a:ext cx="586119" cy="216417"/>
        </a:xfrm>
        <a:prstGeom prst="rightArrow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74</xdr:row>
      <xdr:rowOff>66675</xdr:rowOff>
    </xdr:from>
    <xdr:to>
      <xdr:col>1</xdr:col>
      <xdr:colOff>586119</xdr:colOff>
      <xdr:row>76</xdr:row>
      <xdr:rowOff>92592</xdr:rowOff>
    </xdr:to>
    <xdr:sp macro="" textlink="">
      <xdr:nvSpPr>
        <xdr:cNvPr id="4" name="Right Arrow 3"/>
        <xdr:cNvSpPr/>
      </xdr:nvSpPr>
      <xdr:spPr bwMode="auto">
        <a:xfrm>
          <a:off x="3848100" y="13849350"/>
          <a:ext cx="586119" cy="425967"/>
        </a:xfrm>
        <a:prstGeom prst="rightArrow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100</xdr:row>
      <xdr:rowOff>66675</xdr:rowOff>
    </xdr:from>
    <xdr:to>
      <xdr:col>1</xdr:col>
      <xdr:colOff>586119</xdr:colOff>
      <xdr:row>102</xdr:row>
      <xdr:rowOff>92592</xdr:rowOff>
    </xdr:to>
    <xdr:sp macro="" textlink="">
      <xdr:nvSpPr>
        <xdr:cNvPr id="5" name="Right Arrow 4"/>
        <xdr:cNvSpPr/>
      </xdr:nvSpPr>
      <xdr:spPr bwMode="auto">
        <a:xfrm>
          <a:off x="3848100" y="18316575"/>
          <a:ext cx="586119" cy="425967"/>
        </a:xfrm>
        <a:prstGeom prst="rightArrow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10583</xdr:rowOff>
    </xdr:from>
    <xdr:to>
      <xdr:col>10</xdr:col>
      <xdr:colOff>511175</xdr:colOff>
      <xdr:row>67</xdr:row>
      <xdr:rowOff>144992</xdr:rowOff>
    </xdr:to>
    <xdr:graphicFrame macro="">
      <xdr:nvGraphicFramePr>
        <xdr:cNvPr id="9102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325968</xdr:colOff>
      <xdr:row>102</xdr:row>
      <xdr:rowOff>37040</xdr:rowOff>
    </xdr:from>
    <xdr:to>
      <xdr:col>11</xdr:col>
      <xdr:colOff>52917</xdr:colOff>
      <xdr:row>126</xdr:row>
      <xdr:rowOff>52916</xdr:rowOff>
    </xdr:to>
    <xdr:graphicFrame macro="">
      <xdr:nvGraphicFramePr>
        <xdr:cNvPr id="9102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190501</xdr:colOff>
      <xdr:row>139</xdr:row>
      <xdr:rowOff>66674</xdr:rowOff>
    </xdr:from>
    <xdr:to>
      <xdr:col>9</xdr:col>
      <xdr:colOff>412750</xdr:colOff>
      <xdr:row>164</xdr:row>
      <xdr:rowOff>0</xdr:rowOff>
    </xdr:to>
    <xdr:graphicFrame macro="">
      <xdr:nvGraphicFramePr>
        <xdr:cNvPr id="91023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170</xdr:row>
      <xdr:rowOff>127002</xdr:rowOff>
    </xdr:from>
    <xdr:to>
      <xdr:col>10</xdr:col>
      <xdr:colOff>624417</xdr:colOff>
      <xdr:row>196</xdr:row>
      <xdr:rowOff>74085</xdr:rowOff>
    </xdr:to>
    <xdr:graphicFrame macro="">
      <xdr:nvGraphicFramePr>
        <xdr:cNvPr id="91023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58209</xdr:colOff>
      <xdr:row>209</xdr:row>
      <xdr:rowOff>42334</xdr:rowOff>
    </xdr:from>
    <xdr:to>
      <xdr:col>8</xdr:col>
      <xdr:colOff>636058</xdr:colOff>
      <xdr:row>233</xdr:row>
      <xdr:rowOff>99484</xdr:rowOff>
    </xdr:to>
    <xdr:graphicFrame macro="">
      <xdr:nvGraphicFramePr>
        <xdr:cNvPr id="91023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</xdr:col>
      <xdr:colOff>1</xdr:colOff>
      <xdr:row>237</xdr:row>
      <xdr:rowOff>88901</xdr:rowOff>
    </xdr:from>
    <xdr:to>
      <xdr:col>9</xdr:col>
      <xdr:colOff>878416</xdr:colOff>
      <xdr:row>260</xdr:row>
      <xdr:rowOff>136525</xdr:rowOff>
    </xdr:to>
    <xdr:graphicFrame macro="">
      <xdr:nvGraphicFramePr>
        <xdr:cNvPr id="9102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0</xdr:col>
      <xdr:colOff>180975</xdr:colOff>
      <xdr:row>284</xdr:row>
      <xdr:rowOff>142875</xdr:rowOff>
    </xdr:from>
    <xdr:to>
      <xdr:col>8</xdr:col>
      <xdr:colOff>419100</xdr:colOff>
      <xdr:row>312</xdr:row>
      <xdr:rowOff>0</xdr:rowOff>
    </xdr:to>
    <xdr:graphicFrame macro="">
      <xdr:nvGraphicFramePr>
        <xdr:cNvPr id="91024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</xdr:col>
      <xdr:colOff>94193</xdr:colOff>
      <xdr:row>325</xdr:row>
      <xdr:rowOff>114299</xdr:rowOff>
    </xdr:from>
    <xdr:to>
      <xdr:col>10</xdr:col>
      <xdr:colOff>582084</xdr:colOff>
      <xdr:row>355</xdr:row>
      <xdr:rowOff>95250</xdr:rowOff>
    </xdr:to>
    <xdr:graphicFrame macro="">
      <xdr:nvGraphicFramePr>
        <xdr:cNvPr id="9102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</xdr:col>
      <xdr:colOff>869951</xdr:colOff>
      <xdr:row>363</xdr:row>
      <xdr:rowOff>55034</xdr:rowOff>
    </xdr:from>
    <xdr:to>
      <xdr:col>11</xdr:col>
      <xdr:colOff>24342</xdr:colOff>
      <xdr:row>392</xdr:row>
      <xdr:rowOff>28575</xdr:rowOff>
    </xdr:to>
    <xdr:graphicFrame macro="">
      <xdr:nvGraphicFramePr>
        <xdr:cNvPr id="91024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9524</xdr:colOff>
      <xdr:row>6</xdr:row>
      <xdr:rowOff>57151</xdr:rowOff>
    </xdr:from>
    <xdr:to>
      <xdr:col>10</xdr:col>
      <xdr:colOff>0</xdr:colOff>
      <xdr:row>35</xdr:row>
      <xdr:rowOff>104775</xdr:rowOff>
    </xdr:to>
    <xdr:graphicFrame macro="">
      <xdr:nvGraphicFramePr>
        <xdr:cNvPr id="910247" name="Chart 8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 editAs="oneCell">
    <xdr:from>
      <xdr:col>14</xdr:col>
      <xdr:colOff>322791</xdr:colOff>
      <xdr:row>0</xdr:row>
      <xdr:rowOff>0</xdr:rowOff>
    </xdr:from>
    <xdr:to>
      <xdr:col>14</xdr:col>
      <xdr:colOff>703791</xdr:colOff>
      <xdr:row>0</xdr:row>
      <xdr:rowOff>170932</xdr:rowOff>
    </xdr:to>
    <xdr:pic>
      <xdr:nvPicPr>
        <xdr:cNvPr id="20" name="Picture 19" descr="k12logo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710708" y="0"/>
          <a:ext cx="381000" cy="1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508000</xdr:colOff>
      <xdr:row>414</xdr:row>
      <xdr:rowOff>104773</xdr:rowOff>
    </xdr:from>
    <xdr:to>
      <xdr:col>11</xdr:col>
      <xdr:colOff>328083</xdr:colOff>
      <xdr:row>438</xdr:row>
      <xdr:rowOff>10582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253999</xdr:colOff>
      <xdr:row>76</xdr:row>
      <xdr:rowOff>120649</xdr:rowOff>
    </xdr:from>
    <xdr:to>
      <xdr:col>8</xdr:col>
      <xdr:colOff>920749</xdr:colOff>
      <xdr:row>93</xdr:row>
      <xdr:rowOff>52916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0.08693</cdr:x>
      <cdr:y>0.95201</cdr:y>
    </cdr:from>
    <cdr:to>
      <cdr:x>0.22896</cdr:x>
      <cdr:y>0.99574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4297" y="3518326"/>
          <a:ext cx="1444883" cy="1616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A= Actual  E= Estimated</a:t>
          </a:r>
        </a:p>
      </cdr:txBody>
    </cdr:sp>
  </cdr:relSizeAnchor>
  <cdr:relSizeAnchor xmlns:cdr="http://schemas.openxmlformats.org/drawingml/2006/chartDrawing">
    <cdr:from>
      <cdr:x>0.10425</cdr:x>
      <cdr:y>0.09502</cdr:y>
    </cdr:from>
    <cdr:to>
      <cdr:x>0.10789</cdr:x>
      <cdr:y>0.15162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0528" y="351173"/>
          <a:ext cx="36998" cy="209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0.08693</cdr:x>
      <cdr:y>0.95201</cdr:y>
    </cdr:from>
    <cdr:to>
      <cdr:x>0.22896</cdr:x>
      <cdr:y>0.99574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4297" y="3518326"/>
          <a:ext cx="1444883" cy="1616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Verdana"/>
              <a:ea typeface="Verdana"/>
              <a:cs typeface="Verdana"/>
            </a:rPr>
            <a:t>A= Actual  E= Estimated</a:t>
          </a:r>
        </a:p>
      </cdr:txBody>
    </cdr:sp>
  </cdr:relSizeAnchor>
  <cdr:relSizeAnchor xmlns:cdr="http://schemas.openxmlformats.org/drawingml/2006/chartDrawing">
    <cdr:from>
      <cdr:x>0.10425</cdr:x>
      <cdr:y>0.09502</cdr:y>
    </cdr:from>
    <cdr:to>
      <cdr:x>0.10789</cdr:x>
      <cdr:y>0.15162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0528" y="351173"/>
          <a:ext cx="36998" cy="209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0.73278</cdr:x>
      <cdr:y>0.14898</cdr:y>
    </cdr:from>
    <cdr:to>
      <cdr:x>0.93382</cdr:x>
      <cdr:y>0.20326</cdr:y>
    </cdr:to>
    <cdr:sp macro="" textlink="Graphs!$D$134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9876" y="581344"/>
          <a:ext cx="1478733" cy="21180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27432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D1852BD1-4CCA-4884-B233-0DFD98449A09}" type="TxLink">
            <a:rPr lang="en-US" sz="1000" b="0" i="0" u="none" strike="noStrike">
              <a:solidFill>
                <a:srgbClr val="000000"/>
              </a:solidFill>
              <a:latin typeface="Geneva"/>
              <a:ea typeface="Verdana"/>
              <a:cs typeface="Verdana"/>
            </a:rPr>
            <a:pPr algn="ctr" rtl="0">
              <a:defRPr sz="1000"/>
            </a:pPr>
            <a:t>Local Sources 38.6%</a:t>
          </a:fld>
          <a:endParaRPr lang="en-US" sz="900" b="1" i="0" strike="noStrike">
            <a:solidFill>
              <a:srgbClr val="0000FF"/>
            </a:solidFill>
            <a:latin typeface="Verdana"/>
            <a:ea typeface="Verdana"/>
            <a:cs typeface="Verdana"/>
          </a:endParaRPr>
        </a:p>
      </cdr:txBody>
    </cdr:sp>
  </cdr:relSizeAnchor>
  <cdr:relSizeAnchor xmlns:cdr="http://schemas.openxmlformats.org/drawingml/2006/chartDrawing">
    <cdr:from>
      <cdr:x>0.06658</cdr:x>
      <cdr:y>0.85334</cdr:y>
    </cdr:from>
    <cdr:to>
      <cdr:x>0.25979</cdr:x>
      <cdr:y>0.90974</cdr:y>
    </cdr:to>
    <cdr:sp macro="" textlink="Graphs!$D$136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7" y="3421915"/>
          <a:ext cx="1409697" cy="22616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27432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6680D95F-B416-449E-AB9F-6E1DC5245991}" type="TxLink">
            <a:rPr lang="en-US" sz="1000" b="0" i="0" u="none" strike="noStrike">
              <a:solidFill>
                <a:srgbClr val="000000"/>
              </a:solidFill>
              <a:latin typeface="Geneva"/>
              <a:ea typeface="Verdana"/>
              <a:cs typeface="Verdana"/>
            </a:rPr>
            <a:pPr algn="ctr" rtl="0">
              <a:defRPr sz="1000"/>
            </a:pPr>
            <a:t>State Sources 61.4%</a:t>
          </a:fld>
          <a:endParaRPr lang="en-US" sz="900" b="1" i="0" strike="noStrike">
            <a:solidFill>
              <a:srgbClr val="FF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0.75542</cdr:x>
      <cdr:y>0.23858</cdr:y>
    </cdr:from>
    <cdr:to>
      <cdr:x>0.96704</cdr:x>
      <cdr:y>0.32105</cdr:y>
    </cdr:to>
    <cdr:sp macro="" textlink="Graphs!$J$134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77075" y="971357"/>
          <a:ext cx="1982511" cy="335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27432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4D0C62CF-BB3E-44B5-8153-15B2E9C905F8}" type="TxLink">
            <a:rPr lang="en-US" sz="1200" b="1" i="0" u="sng" strike="noStrike">
              <a:solidFill>
                <a:schemeClr val="tx2">
                  <a:lumMod val="75000"/>
                </a:schemeClr>
              </a:solidFill>
              <a:latin typeface="Verdana"/>
              <a:ea typeface="Verdana"/>
              <a:cs typeface="Verdana"/>
            </a:rPr>
            <a:pPr algn="ctr" rtl="0">
              <a:defRPr sz="1000"/>
            </a:pPr>
            <a:t>Local Sources 39.3%</a:t>
          </a:fld>
          <a:endParaRPr lang="en-US" sz="1200" b="1" i="0" u="sng" strike="noStrike">
            <a:solidFill>
              <a:schemeClr val="tx2">
                <a:lumMod val="75000"/>
              </a:schemeClr>
            </a:solidFill>
            <a:latin typeface="Verdana"/>
            <a:ea typeface="Verdana"/>
            <a:cs typeface="Verdana"/>
          </a:endParaRPr>
        </a:p>
      </cdr:txBody>
    </cdr:sp>
  </cdr:relSizeAnchor>
  <cdr:relSizeAnchor xmlns:cdr="http://schemas.openxmlformats.org/drawingml/2006/chartDrawing">
    <cdr:from>
      <cdr:x>0.01897</cdr:x>
      <cdr:y>0.22631</cdr:y>
    </cdr:from>
    <cdr:to>
      <cdr:x>0.243</cdr:x>
      <cdr:y>0.32734</cdr:y>
    </cdr:to>
    <cdr:sp macro="" textlink="Graphs!$J$136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717" y="921400"/>
          <a:ext cx="2098757" cy="4113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27432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575CD593-514F-48D8-88FF-2C3476DC4220}" type="TxLink">
            <a:rPr lang="en-US" sz="1200" b="1" i="0" u="sng" strike="noStrike">
              <a:solidFill>
                <a:schemeClr val="accent2">
                  <a:lumMod val="75000"/>
                </a:schemeClr>
              </a:solidFill>
              <a:latin typeface="Verdana"/>
              <a:ea typeface="Verdana"/>
              <a:cs typeface="Verdana"/>
            </a:rPr>
            <a:pPr algn="ctr" rtl="0">
              <a:defRPr sz="1000"/>
            </a:pPr>
            <a:t>State Sources 60.7%</a:t>
          </a:fld>
          <a:endParaRPr lang="en-US" sz="1200" b="1" i="0" u="sng" strike="noStrike">
            <a:solidFill>
              <a:schemeClr val="accent2">
                <a:lumMod val="75000"/>
              </a:schemeClr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0.45927</cdr:x>
      <cdr:y>0.34384</cdr:y>
    </cdr:from>
    <cdr:to>
      <cdr:x>0.65115</cdr:x>
      <cdr:y>0.54461</cdr:y>
    </cdr:to>
    <cdr:sp macro="" textlink="">
      <cdr:nvSpPr>
        <cdr:cNvPr id="77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5037" y="1329668"/>
          <a:ext cx="1426837" cy="7764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0" strike="noStrike">
              <a:solidFill>
                <a:srgbClr val="FFFFFF"/>
              </a:solidFill>
              <a:latin typeface="Verdana"/>
              <a:ea typeface="Verdana"/>
              <a:cs typeface="Verdana"/>
            </a:rPr>
            <a:t>Salaries, OT, subs, </a:t>
          </a:r>
        </a:p>
        <a:p xmlns:a="http://schemas.openxmlformats.org/drawingml/2006/main">
          <a:pPr algn="ctr" rtl="0">
            <a:defRPr sz="1000"/>
          </a:pPr>
          <a:r>
            <a:rPr lang="en-US" sz="900" b="1" i="0" strike="noStrike">
              <a:solidFill>
                <a:srgbClr val="FFFFFF"/>
              </a:solidFill>
              <a:latin typeface="Verdana"/>
              <a:ea typeface="Verdana"/>
              <a:cs typeface="Verdana"/>
            </a:rPr>
            <a:t>sick leave, vacation</a:t>
          </a:r>
        </a:p>
      </cdr:txBody>
    </cdr:sp>
  </cdr:relSizeAnchor>
  <cdr:relSizeAnchor xmlns:cdr="http://schemas.openxmlformats.org/drawingml/2006/chartDrawing">
    <cdr:from>
      <cdr:x>0.2258</cdr:x>
      <cdr:y>0.46639</cdr:y>
    </cdr:from>
    <cdr:to>
      <cdr:x>0.34734</cdr:x>
      <cdr:y>0.59664</cdr:y>
    </cdr:to>
    <cdr:sp macro="" textlink="">
      <cdr:nvSpPr>
        <cdr:cNvPr id="112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8990" y="1803607"/>
          <a:ext cx="903753" cy="5036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0" strike="noStrike">
              <a:solidFill>
                <a:srgbClr val="FFFFFF"/>
              </a:solidFill>
              <a:latin typeface="Verdana"/>
              <a:ea typeface="Verdana"/>
              <a:cs typeface="Verdana"/>
            </a:rPr>
            <a:t>Health insurances,</a:t>
          </a:r>
        </a:p>
        <a:p xmlns:a="http://schemas.openxmlformats.org/drawingml/2006/main">
          <a:pPr algn="ctr" rtl="0">
            <a:defRPr sz="1000"/>
          </a:pPr>
          <a:r>
            <a:rPr lang="en-US" sz="900" b="1" i="0" strike="noStrike">
              <a:solidFill>
                <a:srgbClr val="FFFFFF"/>
              </a:solidFill>
              <a:latin typeface="Verdana"/>
              <a:ea typeface="Verdana"/>
              <a:cs typeface="Verdana"/>
            </a:rPr>
            <a:t> STRS, SERS, </a:t>
          </a:r>
        </a:p>
        <a:p xmlns:a="http://schemas.openxmlformats.org/drawingml/2006/main">
          <a:pPr algn="ctr" rtl="0">
            <a:defRPr sz="1000"/>
          </a:pPr>
          <a:r>
            <a:rPr lang="en-US" sz="900" b="1" i="0" strike="noStrike">
              <a:solidFill>
                <a:srgbClr val="FFFFFF"/>
              </a:solidFill>
              <a:latin typeface="Verdana"/>
              <a:ea typeface="Verdana"/>
              <a:cs typeface="Verdana"/>
            </a:rPr>
            <a:t>W/Comp</a:t>
          </a:r>
        </a:p>
      </cdr:txBody>
    </cdr:sp>
  </cdr:relSizeAnchor>
  <cdr:relSizeAnchor xmlns:cdr="http://schemas.openxmlformats.org/drawingml/2006/chartDrawing">
    <cdr:from>
      <cdr:x>0.24781</cdr:x>
      <cdr:y>0.6368</cdr:y>
    </cdr:from>
    <cdr:to>
      <cdr:x>0.47491</cdr:x>
      <cdr:y>0.72714</cdr:y>
    </cdr:to>
    <cdr:sp macro="" textlink="">
      <cdr:nvSpPr>
        <cdr:cNvPr id="112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2713" y="2462608"/>
          <a:ext cx="1688682" cy="349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0" strike="noStrike">
              <a:solidFill>
                <a:srgbClr val="FFFFFF"/>
              </a:solidFill>
              <a:latin typeface="Verdana"/>
              <a:ea typeface="Verdana"/>
              <a:cs typeface="Verdana"/>
            </a:rPr>
            <a:t>Utilities, Tuition </a:t>
          </a:r>
        </a:p>
        <a:p xmlns:a="http://schemas.openxmlformats.org/drawingml/2006/main">
          <a:pPr algn="ctr" rtl="0">
            <a:defRPr sz="1000"/>
          </a:pPr>
          <a:r>
            <a:rPr lang="en-US" sz="900" b="1" i="0" strike="noStrike">
              <a:solidFill>
                <a:srgbClr val="FFFFFF"/>
              </a:solidFill>
              <a:latin typeface="Verdana"/>
              <a:ea typeface="Verdana"/>
              <a:cs typeface="Verdana"/>
            </a:rPr>
            <a:t>Tuition, Prop. Ins.</a:t>
          </a:r>
        </a:p>
      </cdr:txBody>
    </cdr:sp>
  </cdr:relSizeAnchor>
  <cdr:relSizeAnchor xmlns:cdr="http://schemas.openxmlformats.org/drawingml/2006/chartDrawing">
    <cdr:from>
      <cdr:x>0.02527</cdr:x>
      <cdr:y>0.18993</cdr:y>
    </cdr:from>
    <cdr:to>
      <cdr:x>0.15493</cdr:x>
      <cdr:y>0.27294</cdr:y>
    </cdr:to>
    <cdr:sp macro="" textlink="">
      <cdr:nvSpPr>
        <cdr:cNvPr id="775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009" y="748976"/>
          <a:ext cx="964543" cy="327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900" b="1" i="0" strike="noStrike">
            <a:solidFill>
              <a:srgbClr val="FFFFFF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0.52749</cdr:x>
      <cdr:y>0.30197</cdr:y>
    </cdr:from>
    <cdr:to>
      <cdr:x>0.5535</cdr:x>
      <cdr:y>0.34827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3545" y="1235512"/>
          <a:ext cx="105120" cy="190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0.52749</cdr:x>
      <cdr:y>0.30197</cdr:y>
    </cdr:from>
    <cdr:to>
      <cdr:x>0.5535</cdr:x>
      <cdr:y>0.34827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3545" y="1235512"/>
          <a:ext cx="105120" cy="190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0.01791</cdr:x>
      <cdr:y>0.23821</cdr:y>
    </cdr:from>
    <cdr:to>
      <cdr:x>0.28502</cdr:x>
      <cdr:y>0.34726</cdr:y>
    </cdr:to>
    <cdr:sp macro="" textlink="Graphs!$N$244">
      <cdr:nvSpPr>
        <cdr:cNvPr id="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581" y="898520"/>
          <a:ext cx="2320918" cy="411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27432" bIns="18288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DEF1EF31-DC25-4E96-A5A7-2DCCFAB13006}" type="TxLink">
            <a:rPr lang="en-US" sz="1200" b="1" i="0" u="sng" strike="noStrike">
              <a:solidFill>
                <a:schemeClr val="accent2">
                  <a:lumMod val="75000"/>
                </a:schemeClr>
              </a:solidFill>
              <a:latin typeface="Geneva"/>
              <a:ea typeface="Verdana"/>
              <a:cs typeface="Verdana"/>
            </a:rPr>
            <a:pPr algn="ctr" rtl="0">
              <a:defRPr sz="1000"/>
            </a:pPr>
            <a:t>Salary and Benefits 84.6%</a:t>
          </a:fld>
          <a:endParaRPr lang="en-US" sz="1200" b="1" i="0" u="sng" strike="noStrike">
            <a:solidFill>
              <a:schemeClr val="accent2">
                <a:lumMod val="75000"/>
              </a:schemeClr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mhfs\k12$\Forecasts\Northeastern\FiveYearForeca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xtras"/>
      <sheetName val="Forecast"/>
      <sheetName val="Parameters"/>
      <sheetName val="Data"/>
      <sheetName val="Summary View"/>
      <sheetName val="Percentage View"/>
      <sheetName val="Charts"/>
      <sheetName val="K12"/>
    </sheetNames>
    <sheetDataSet>
      <sheetData sheetId="0"/>
      <sheetData sheetId="1"/>
      <sheetData sheetId="2"/>
      <sheetData sheetId="3">
        <row r="5">
          <cell r="B5" t="str">
            <v>Jackson  Local School District</v>
          </cell>
        </row>
        <row r="7">
          <cell r="B7">
            <v>2021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8"/>
  <sheetViews>
    <sheetView topLeftCell="A31" workbookViewId="0"/>
  </sheetViews>
  <sheetFormatPr defaultRowHeight="13.2"/>
  <cols>
    <col min="1" max="1" width="30.33203125" customWidth="1"/>
    <col min="2" max="2" width="9.6640625" bestFit="1" customWidth="1"/>
    <col min="4" max="4" width="10.88671875" bestFit="1" customWidth="1"/>
    <col min="6" max="6" width="22.88671875" customWidth="1"/>
    <col min="7" max="7" width="2.33203125" customWidth="1"/>
  </cols>
  <sheetData>
    <row r="1" spans="1:9">
      <c r="A1" s="44"/>
      <c r="B1" s="44"/>
      <c r="C1" s="44"/>
      <c r="E1" s="44"/>
      <c r="F1" s="44"/>
      <c r="G1" s="44"/>
      <c r="H1" s="44"/>
      <c r="I1" s="44"/>
    </row>
    <row r="2" spans="1:9" ht="16.5" customHeight="1">
      <c r="A2" s="1588" t="str">
        <f>UPPER(D58)&amp;"  - "&amp;UPPER(D59)&amp;" COUNTY"</f>
        <v>MADISON LOCAL SCHOOL DISTRICT  - RICHLAND COUNTY</v>
      </c>
      <c r="B2" s="1588"/>
      <c r="C2" s="1588"/>
      <c r="D2" s="1588"/>
      <c r="E2" s="1588"/>
      <c r="F2" s="1588"/>
      <c r="G2" s="1588"/>
      <c r="H2" s="44" t="s">
        <v>250</v>
      </c>
      <c r="I2" s="44"/>
    </row>
    <row r="3" spans="1:9" ht="16.5" customHeight="1">
      <c r="A3" s="1589" t="s">
        <v>74</v>
      </c>
      <c r="B3" s="1589"/>
      <c r="C3" s="1589"/>
      <c r="D3" s="1589"/>
      <c r="E3" s="1589"/>
      <c r="F3" s="1589"/>
      <c r="G3" s="1589"/>
      <c r="H3" s="44" t="s">
        <v>250</v>
      </c>
      <c r="I3" s="44"/>
    </row>
    <row r="4" spans="1:9" ht="15.6">
      <c r="A4" s="1589" t="s">
        <v>75</v>
      </c>
      <c r="B4" s="1589"/>
      <c r="C4" s="1589"/>
      <c r="D4" s="1589"/>
      <c r="E4" s="1589"/>
      <c r="F4" s="1589"/>
      <c r="G4" s="1589"/>
      <c r="H4" s="44" t="s">
        <v>250</v>
      </c>
      <c r="I4" s="44"/>
    </row>
    <row r="5" spans="1:9" ht="15.6">
      <c r="A5" s="1589" t="str">
        <f>"ACTUAL JUNE 30, "&amp;A51&amp;", "&amp;A50&amp;", "&amp;A49</f>
        <v>ACTUAL JUNE 30, 2019, 2020, 2021</v>
      </c>
      <c r="B5" s="1589"/>
      <c r="C5" s="1589"/>
      <c r="D5" s="1589"/>
      <c r="E5" s="1589"/>
      <c r="F5" s="1589"/>
      <c r="G5" s="1589"/>
      <c r="H5" s="44" t="s">
        <v>250</v>
      </c>
      <c r="I5" s="44"/>
    </row>
    <row r="6" spans="1:9" ht="15.6">
      <c r="A6" s="1589" t="s">
        <v>167</v>
      </c>
      <c r="B6" s="1589"/>
      <c r="C6" s="1589"/>
      <c r="D6" s="1589"/>
      <c r="E6" s="1589"/>
      <c r="F6" s="1589"/>
      <c r="G6" s="1589"/>
      <c r="H6" s="44" t="s">
        <v>250</v>
      </c>
      <c r="I6" s="44"/>
    </row>
    <row r="7" spans="1:9" ht="15.6">
      <c r="A7" s="1589" t="str">
        <f>"JUNE 30, "&amp;A47&amp;" THROUGH "&amp;E47</f>
        <v>JUNE 30, 2022 THROUGH 2026</v>
      </c>
      <c r="B7" s="1589"/>
      <c r="C7" s="1589"/>
      <c r="D7" s="1589"/>
      <c r="E7" s="1589"/>
      <c r="F7" s="1589"/>
      <c r="G7" s="1589"/>
      <c r="H7" s="44"/>
      <c r="I7" s="44" t="s">
        <v>885</v>
      </c>
    </row>
    <row r="8" spans="1:9">
      <c r="A8" s="44"/>
      <c r="B8" s="44"/>
      <c r="C8" s="44"/>
      <c r="D8" s="44"/>
      <c r="E8" s="44"/>
      <c r="F8" s="44"/>
      <c r="G8" s="44"/>
      <c r="H8" s="44"/>
      <c r="I8" s="44"/>
    </row>
    <row r="9" spans="1:9">
      <c r="A9" s="44"/>
      <c r="B9" s="44"/>
      <c r="C9" s="44"/>
      <c r="D9" s="44"/>
      <c r="E9" s="44"/>
      <c r="F9" s="44"/>
      <c r="G9" s="44"/>
      <c r="H9" s="44"/>
      <c r="I9" s="44"/>
    </row>
    <row r="10" spans="1:9">
      <c r="A10" s="44"/>
      <c r="B10" s="44"/>
      <c r="C10" s="44"/>
      <c r="D10" s="44"/>
      <c r="E10" s="44"/>
      <c r="F10" s="44"/>
      <c r="G10" s="44"/>
      <c r="H10" s="44"/>
      <c r="I10" s="44"/>
    </row>
    <row r="11" spans="1:9">
      <c r="A11" s="44"/>
      <c r="B11" s="44"/>
      <c r="C11" s="44"/>
      <c r="D11" s="44"/>
      <c r="E11" s="44"/>
      <c r="F11" s="44"/>
      <c r="G11" s="44"/>
      <c r="H11" s="44"/>
      <c r="I11" s="44"/>
    </row>
    <row r="12" spans="1:9">
      <c r="A12" s="44"/>
      <c r="B12" s="44"/>
      <c r="C12" s="44"/>
      <c r="D12" s="44"/>
      <c r="E12" s="44"/>
      <c r="F12" s="44"/>
      <c r="G12" s="44"/>
      <c r="H12" s="44"/>
      <c r="I12" s="44"/>
    </row>
    <row r="13" spans="1:9">
      <c r="A13" s="44"/>
      <c r="B13" s="44"/>
      <c r="C13" s="44"/>
      <c r="D13" s="44"/>
      <c r="E13" s="44"/>
      <c r="F13" s="44"/>
      <c r="G13" s="44"/>
      <c r="H13" s="44"/>
      <c r="I13" s="44"/>
    </row>
    <row r="14" spans="1:9">
      <c r="A14" s="44"/>
      <c r="B14" s="44"/>
      <c r="C14" s="44"/>
      <c r="D14" s="44"/>
      <c r="E14" s="44"/>
      <c r="F14" s="44"/>
      <c r="G14" s="44"/>
      <c r="H14" s="44"/>
      <c r="I14" s="44"/>
    </row>
    <row r="15" spans="1:9">
      <c r="A15" s="44"/>
      <c r="B15" s="44"/>
      <c r="C15" s="44"/>
      <c r="D15" s="44"/>
      <c r="E15" s="44"/>
      <c r="F15" s="44"/>
      <c r="G15" s="44"/>
      <c r="H15" s="44"/>
      <c r="I15" s="44"/>
    </row>
    <row r="16" spans="1:9">
      <c r="A16" s="44"/>
      <c r="B16" s="44"/>
      <c r="C16" s="44"/>
      <c r="D16" s="44"/>
      <c r="E16" s="44"/>
      <c r="F16" s="44"/>
      <c r="G16" s="44"/>
      <c r="H16" s="44"/>
      <c r="I16" s="44"/>
    </row>
    <row r="17" spans="1:9">
      <c r="A17" s="44"/>
      <c r="B17" s="44"/>
      <c r="C17" s="44"/>
      <c r="D17" s="44"/>
      <c r="E17" s="44"/>
      <c r="F17" s="44"/>
      <c r="G17" s="44"/>
      <c r="H17" s="44"/>
      <c r="I17" s="44"/>
    </row>
    <row r="18" spans="1:9">
      <c r="A18" s="44"/>
      <c r="B18" s="44"/>
      <c r="C18" s="44"/>
      <c r="D18" s="44"/>
      <c r="E18" s="44"/>
      <c r="F18" s="44"/>
      <c r="G18" s="44"/>
      <c r="H18" s="44"/>
      <c r="I18" s="44"/>
    </row>
    <row r="19" spans="1:9">
      <c r="A19" s="44"/>
      <c r="B19" s="44"/>
      <c r="C19" s="44"/>
      <c r="D19" s="44"/>
      <c r="E19" s="44"/>
      <c r="F19" s="44"/>
      <c r="G19" s="44"/>
      <c r="H19" s="44"/>
      <c r="I19" s="44"/>
    </row>
    <row r="20" spans="1:9">
      <c r="A20" s="44"/>
      <c r="B20" s="44"/>
      <c r="C20" s="44"/>
      <c r="D20" s="44"/>
      <c r="E20" s="44"/>
      <c r="F20" s="44"/>
      <c r="G20" s="44"/>
      <c r="H20" s="44"/>
      <c r="I20" s="44"/>
    </row>
    <row r="21" spans="1:9">
      <c r="A21" s="44"/>
      <c r="B21" s="44"/>
      <c r="C21" s="44"/>
      <c r="D21" s="44"/>
      <c r="E21" s="44"/>
      <c r="F21" s="44"/>
      <c r="G21" s="44"/>
      <c r="H21" s="44"/>
      <c r="I21" s="44"/>
    </row>
    <row r="22" spans="1:9">
      <c r="A22" s="44"/>
      <c r="B22" s="44"/>
      <c r="C22" s="44"/>
      <c r="D22" s="44"/>
      <c r="E22" s="44"/>
      <c r="F22" s="44"/>
      <c r="G22" s="44"/>
      <c r="H22" s="44"/>
      <c r="I22" s="44"/>
    </row>
    <row r="23" spans="1:9">
      <c r="A23" s="44"/>
      <c r="B23" s="44"/>
      <c r="C23" s="44"/>
      <c r="D23" s="44"/>
      <c r="E23" s="44"/>
      <c r="F23" s="44"/>
      <c r="G23" s="44"/>
      <c r="H23" s="44"/>
      <c r="I23" s="44"/>
    </row>
    <row r="24" spans="1:9">
      <c r="A24" s="44"/>
      <c r="B24" s="44"/>
      <c r="C24" s="44"/>
      <c r="D24" s="44"/>
      <c r="E24" s="44"/>
      <c r="F24" s="44"/>
      <c r="G24" s="44"/>
      <c r="H24" s="44"/>
      <c r="I24" s="44"/>
    </row>
    <row r="25" spans="1:9">
      <c r="A25" s="44"/>
      <c r="B25" s="44"/>
      <c r="C25" s="44"/>
      <c r="D25" s="44"/>
      <c r="E25" s="44"/>
      <c r="F25" s="44"/>
      <c r="G25" s="44"/>
      <c r="H25" s="44"/>
      <c r="I25" s="44"/>
    </row>
    <row r="26" spans="1:9">
      <c r="A26" s="44"/>
      <c r="B26" s="44"/>
      <c r="C26" s="44"/>
      <c r="D26" s="44"/>
      <c r="E26" s="44"/>
      <c r="F26" s="44"/>
      <c r="G26" s="44"/>
      <c r="H26" s="44"/>
      <c r="I26" s="44"/>
    </row>
    <row r="27" spans="1:9">
      <c r="A27" s="44"/>
      <c r="B27" s="44"/>
      <c r="C27" s="44"/>
      <c r="D27" s="44"/>
      <c r="E27" s="44"/>
      <c r="F27" s="44"/>
      <c r="G27" s="44"/>
      <c r="H27" s="44"/>
      <c r="I27" s="44"/>
    </row>
    <row r="28" spans="1:9">
      <c r="A28" s="44"/>
      <c r="B28" s="44"/>
      <c r="C28" s="44"/>
      <c r="D28" s="44"/>
      <c r="E28" s="44"/>
      <c r="F28" s="44"/>
      <c r="G28" s="44"/>
      <c r="H28" s="44"/>
      <c r="I28" s="44"/>
    </row>
    <row r="29" spans="1:9">
      <c r="A29" s="44"/>
      <c r="B29" s="44"/>
      <c r="C29" s="44"/>
      <c r="D29" s="44"/>
      <c r="E29" s="44"/>
      <c r="F29" s="44"/>
      <c r="G29" s="44"/>
      <c r="H29" s="44"/>
      <c r="I29" s="44"/>
    </row>
    <row r="30" spans="1:9" ht="15.6">
      <c r="A30" s="44"/>
      <c r="B30" s="722"/>
      <c r="C30" s="44"/>
      <c r="D30" s="44"/>
      <c r="E30" s="44"/>
      <c r="F30" s="44"/>
      <c r="G30" s="44"/>
      <c r="H30" s="44"/>
      <c r="I30" s="44"/>
    </row>
    <row r="31" spans="1:9">
      <c r="A31" s="44"/>
      <c r="B31" s="44"/>
      <c r="C31" s="44"/>
      <c r="D31" s="44"/>
      <c r="E31" s="44"/>
      <c r="F31" s="44"/>
      <c r="G31" s="44"/>
      <c r="H31" s="44"/>
      <c r="I31" s="44"/>
    </row>
    <row r="32" spans="1:9">
      <c r="A32" s="44"/>
      <c r="B32" s="44"/>
      <c r="C32" s="44"/>
      <c r="D32" s="44"/>
      <c r="E32" s="44"/>
      <c r="F32" s="44"/>
      <c r="G32" s="44"/>
      <c r="H32" s="44"/>
      <c r="I32" s="44"/>
    </row>
    <row r="33" spans="1:9">
      <c r="A33" s="44"/>
      <c r="B33" s="44"/>
      <c r="C33" s="44"/>
      <c r="D33" s="44"/>
      <c r="E33" s="44"/>
      <c r="F33" s="44"/>
      <c r="G33" s="44"/>
      <c r="H33" s="44"/>
      <c r="I33" s="44"/>
    </row>
    <row r="34" spans="1:9">
      <c r="A34" s="44"/>
      <c r="B34" s="44"/>
      <c r="C34" s="44"/>
      <c r="D34" s="44"/>
      <c r="E34" s="44"/>
      <c r="F34" s="44"/>
      <c r="G34" s="44"/>
      <c r="H34" s="44"/>
      <c r="I34" s="44"/>
    </row>
    <row r="35" spans="1:9">
      <c r="A35" s="44"/>
      <c r="B35" s="44"/>
      <c r="C35" s="44"/>
      <c r="D35" s="44"/>
      <c r="E35" s="44"/>
      <c r="F35" s="44"/>
      <c r="G35" s="44"/>
      <c r="H35" s="44"/>
      <c r="I35" s="44"/>
    </row>
    <row r="36" spans="1:9">
      <c r="A36" s="44"/>
      <c r="B36" s="44"/>
      <c r="C36" s="44"/>
      <c r="D36" s="44"/>
      <c r="E36" s="44"/>
      <c r="F36" s="44"/>
      <c r="G36" s="44"/>
      <c r="H36" s="44"/>
      <c r="I36" s="44"/>
    </row>
    <row r="37" spans="1:9">
      <c r="A37" s="44"/>
      <c r="B37" s="44"/>
      <c r="C37" s="44"/>
      <c r="D37" s="44"/>
      <c r="E37" s="44"/>
      <c r="F37" s="44"/>
      <c r="G37" s="44"/>
      <c r="H37" s="44"/>
      <c r="I37" s="44"/>
    </row>
    <row r="38" spans="1:9">
      <c r="A38" s="44"/>
      <c r="B38" s="44"/>
      <c r="C38" s="44"/>
      <c r="D38" s="44"/>
      <c r="E38" s="44"/>
      <c r="F38" s="44"/>
      <c r="G38" s="44"/>
      <c r="H38" s="44"/>
      <c r="I38" s="44"/>
    </row>
    <row r="39" spans="1:9" ht="15.6">
      <c r="A39" s="1589" t="s">
        <v>192</v>
      </c>
      <c r="B39" s="1589"/>
      <c r="C39" s="1589"/>
      <c r="D39" s="1589"/>
      <c r="E39" s="1589"/>
      <c r="F39" s="1589"/>
      <c r="G39" s="1589"/>
      <c r="H39" s="44"/>
      <c r="I39" s="44"/>
    </row>
    <row r="40" spans="1:9" ht="17.399999999999999">
      <c r="A40" s="1588" t="str">
        <f>+D58</f>
        <v>Madison Local School District</v>
      </c>
      <c r="B40" s="1588"/>
      <c r="C40" s="1588"/>
      <c r="D40" s="1588"/>
      <c r="E40" s="1588"/>
      <c r="F40" s="1588"/>
      <c r="G40" s="1588"/>
      <c r="H40" s="44"/>
      <c r="I40" s="44"/>
    </row>
    <row r="41" spans="1:9" ht="17.399999999999999">
      <c r="A41" s="1588" t="s">
        <v>191</v>
      </c>
      <c r="B41" s="1588"/>
      <c r="C41" s="1588"/>
      <c r="D41" s="1588"/>
      <c r="E41" s="1588"/>
      <c r="F41" s="1588"/>
      <c r="G41" s="1588"/>
      <c r="H41" s="44"/>
      <c r="I41" s="44"/>
    </row>
    <row r="42" spans="1:9" ht="15.6">
      <c r="A42" s="1589" t="str">
        <f>+Cover!D62</f>
        <v>Robin Klenk, Treasurer</v>
      </c>
      <c r="B42" s="1589"/>
      <c r="C42" s="1589"/>
      <c r="D42" s="1589"/>
      <c r="E42" s="1589"/>
      <c r="F42" s="1589"/>
      <c r="G42" s="1589"/>
      <c r="H42" s="44"/>
      <c r="I42" s="44"/>
    </row>
    <row r="43" spans="1:9" ht="15.6">
      <c r="A43" s="1589" t="s">
        <v>902</v>
      </c>
      <c r="B43" s="1589"/>
      <c r="C43" s="1589"/>
      <c r="D43" s="1589"/>
      <c r="E43" s="1589"/>
      <c r="F43" s="1589"/>
      <c r="G43" s="44"/>
      <c r="H43" s="44"/>
      <c r="I43" s="44"/>
    </row>
    <row r="44" spans="1:9" ht="18">
      <c r="A44" s="1590" t="s">
        <v>903</v>
      </c>
      <c r="B44" s="1591"/>
      <c r="C44" s="1591">
        <v>42124</v>
      </c>
      <c r="D44" s="1591"/>
      <c r="E44" s="1591"/>
      <c r="F44" s="1591"/>
      <c r="G44" s="1591"/>
      <c r="H44" s="44"/>
      <c r="I44" s="44"/>
    </row>
    <row r="45" spans="1:9">
      <c r="A45" s="44"/>
      <c r="B45" s="44"/>
      <c r="C45" s="44"/>
      <c r="D45" s="44"/>
      <c r="E45" s="44"/>
      <c r="F45" s="44"/>
      <c r="G45" s="44"/>
      <c r="H45" s="44"/>
      <c r="I45" s="44"/>
    </row>
    <row r="46" spans="1:9">
      <c r="A46" s="44"/>
      <c r="B46" s="44"/>
      <c r="C46" s="44"/>
      <c r="D46" s="44"/>
      <c r="E46" s="44"/>
      <c r="F46" s="44"/>
      <c r="G46" s="44"/>
      <c r="H46" s="44"/>
      <c r="I46" s="44"/>
    </row>
    <row r="47" spans="1:9">
      <c r="A47" s="29">
        <f>+Cover!D64</f>
        <v>2022</v>
      </c>
      <c r="B47" s="44">
        <f>+A47+1</f>
        <v>2023</v>
      </c>
      <c r="C47" s="44">
        <f>+B47+1</f>
        <v>2024</v>
      </c>
      <c r="D47" s="44">
        <f>+C47+1</f>
        <v>2025</v>
      </c>
      <c r="E47" s="44">
        <f>+D47+1</f>
        <v>2026</v>
      </c>
      <c r="F47" s="44"/>
      <c r="G47" s="44"/>
      <c r="H47" s="44"/>
      <c r="I47" s="44"/>
    </row>
    <row r="48" spans="1:9">
      <c r="A48" s="44"/>
      <c r="B48" s="44"/>
      <c r="C48" s="44"/>
      <c r="D48" s="44"/>
      <c r="E48" s="44"/>
      <c r="F48" s="44"/>
      <c r="G48" s="44"/>
      <c r="H48" s="44"/>
      <c r="I48" s="44"/>
    </row>
    <row r="49" spans="1:9">
      <c r="A49" s="44">
        <f>+A47-1</f>
        <v>2021</v>
      </c>
      <c r="B49" s="44"/>
      <c r="C49" s="44"/>
      <c r="D49" s="44"/>
      <c r="E49" s="44"/>
      <c r="F49" s="44"/>
      <c r="G49" s="44"/>
      <c r="H49" s="44"/>
      <c r="I49" s="44"/>
    </row>
    <row r="50" spans="1:9">
      <c r="A50" s="44">
        <f>+A49-1</f>
        <v>2020</v>
      </c>
      <c r="B50" s="44"/>
      <c r="C50" s="44"/>
      <c r="D50" s="44"/>
      <c r="E50" s="44"/>
      <c r="F50" s="44"/>
      <c r="G50" s="44"/>
      <c r="H50" s="44"/>
      <c r="I50" s="44"/>
    </row>
    <row r="51" spans="1:9">
      <c r="A51" s="44">
        <f>+A50-1</f>
        <v>2019</v>
      </c>
      <c r="B51" s="44"/>
      <c r="C51" s="44"/>
      <c r="D51" s="44"/>
      <c r="E51" s="44"/>
      <c r="F51" s="44"/>
      <c r="G51" s="44"/>
      <c r="H51" s="44"/>
      <c r="I51" s="44"/>
    </row>
    <row r="52" spans="1:9">
      <c r="A52" s="44"/>
      <c r="B52" s="44"/>
      <c r="C52" s="44"/>
      <c r="D52" s="44"/>
      <c r="E52" s="44"/>
      <c r="F52" s="44"/>
      <c r="G52" s="44"/>
      <c r="H52" s="44"/>
      <c r="I52" s="44"/>
    </row>
    <row r="53" spans="1:9" ht="15.6">
      <c r="A53" s="30" t="str">
        <f>"For the Fiscal Years Ended June 30, "&amp;A51&amp;", "&amp;A50&amp;", "&amp;A49&amp;" Actual;"</f>
        <v>For the Fiscal Years Ended June 30, 2019, 2020, 2021 Actual;</v>
      </c>
      <c r="B53" s="31"/>
      <c r="C53" s="31"/>
      <c r="D53" s="31"/>
      <c r="E53" s="31"/>
      <c r="F53" s="31"/>
      <c r="G53" s="44"/>
      <c r="H53" s="44"/>
      <c r="I53" s="44"/>
    </row>
    <row r="54" spans="1:9" ht="15.6">
      <c r="A54" s="30" t="str">
        <f>"Forecasted Fiscal Year Ending June 30, "&amp;A47&amp;" through "&amp;E47</f>
        <v>Forecasted Fiscal Year Ending June 30, 2022 through 2026</v>
      </c>
      <c r="B54" s="44"/>
      <c r="C54" s="44"/>
      <c r="D54" s="44"/>
      <c r="E54" s="44"/>
      <c r="F54" s="44"/>
      <c r="G54" s="44"/>
      <c r="H54" s="44"/>
      <c r="I54" s="44"/>
    </row>
    <row r="55" spans="1:9">
      <c r="A55" s="44"/>
      <c r="B55" s="44"/>
      <c r="C55" s="44"/>
      <c r="D55" s="44"/>
      <c r="E55" s="44"/>
      <c r="F55" s="44"/>
      <c r="G55" s="44"/>
      <c r="H55" s="44"/>
      <c r="I55" s="44"/>
    </row>
    <row r="56" spans="1:9">
      <c r="A56" s="44"/>
      <c r="B56" s="44"/>
      <c r="C56" s="44"/>
      <c r="D56" s="44"/>
      <c r="E56" s="44"/>
      <c r="F56" s="44"/>
      <c r="G56" s="44"/>
      <c r="H56" s="44"/>
      <c r="I56" s="44"/>
    </row>
    <row r="57" spans="1:9">
      <c r="A57" s="44"/>
      <c r="B57" s="44"/>
      <c r="C57" s="44"/>
      <c r="D57" s="44"/>
      <c r="E57" s="44"/>
      <c r="F57" s="44"/>
      <c r="G57" s="44"/>
      <c r="H57" s="44"/>
      <c r="I57" s="44"/>
    </row>
    <row r="58" spans="1:9" ht="22.8">
      <c r="A58" s="32" t="s">
        <v>39</v>
      </c>
      <c r="B58" s="44"/>
      <c r="C58" s="34"/>
      <c r="D58" s="33" t="s">
        <v>931</v>
      </c>
      <c r="E58" s="34"/>
      <c r="F58" s="34"/>
      <c r="G58" s="34"/>
      <c r="H58" s="44"/>
      <c r="I58" s="44"/>
    </row>
    <row r="59" spans="1:9" ht="22.8">
      <c r="A59" s="32" t="s">
        <v>40</v>
      </c>
      <c r="B59" s="44"/>
      <c r="C59" s="34"/>
      <c r="D59" s="33" t="s">
        <v>930</v>
      </c>
      <c r="E59" s="34"/>
      <c r="F59" s="34"/>
      <c r="G59" s="34"/>
      <c r="H59" s="44"/>
      <c r="I59" s="44"/>
    </row>
    <row r="60" spans="1:9" ht="22.8">
      <c r="A60" s="35" t="s">
        <v>42</v>
      </c>
      <c r="B60" s="44"/>
      <c r="C60" s="34"/>
      <c r="D60" s="33">
        <v>49452</v>
      </c>
      <c r="E60" s="34"/>
      <c r="F60" s="34"/>
      <c r="G60" s="34"/>
      <c r="H60" s="44"/>
      <c r="I60" s="44"/>
    </row>
    <row r="61" spans="1:9" ht="22.8">
      <c r="A61" s="35"/>
      <c r="B61" s="44"/>
      <c r="C61" s="34"/>
      <c r="D61" s="33"/>
      <c r="E61" s="34"/>
      <c r="F61" s="34"/>
      <c r="G61" s="34"/>
      <c r="H61" s="44"/>
      <c r="I61" s="44"/>
    </row>
    <row r="62" spans="1:9" ht="22.8">
      <c r="A62" s="32" t="s">
        <v>76</v>
      </c>
      <c r="B62" s="44"/>
      <c r="C62" s="34"/>
      <c r="D62" s="33" t="s">
        <v>932</v>
      </c>
      <c r="E62" s="34"/>
      <c r="F62" s="34"/>
      <c r="G62" s="34"/>
      <c r="H62" s="44"/>
      <c r="I62" s="44"/>
    </row>
    <row r="63" spans="1:9" ht="22.8">
      <c r="A63" s="35"/>
      <c r="B63" s="44"/>
      <c r="C63" s="34"/>
      <c r="D63" s="33"/>
      <c r="E63" s="34"/>
      <c r="F63" s="34"/>
      <c r="G63" s="34"/>
      <c r="H63" s="44"/>
      <c r="I63" s="44"/>
    </row>
    <row r="64" spans="1:9" ht="22.8">
      <c r="A64" s="32" t="s">
        <v>41</v>
      </c>
      <c r="B64" s="44"/>
      <c r="C64" s="34"/>
      <c r="D64" s="33">
        <v>2022</v>
      </c>
      <c r="E64" s="34"/>
      <c r="F64" s="34"/>
      <c r="G64" s="34"/>
      <c r="H64" s="44"/>
      <c r="I64" s="44"/>
    </row>
    <row r="65" spans="1:9">
      <c r="A65" s="44"/>
      <c r="B65" s="44"/>
      <c r="C65" s="44"/>
      <c r="D65" s="44"/>
      <c r="E65" s="44"/>
      <c r="F65" s="44"/>
      <c r="G65" s="44"/>
      <c r="H65" s="44"/>
      <c r="I65" s="44"/>
    </row>
    <row r="66" spans="1:9">
      <c r="A66" s="44"/>
      <c r="B66" s="44"/>
      <c r="C66" s="44"/>
      <c r="D66" s="44"/>
      <c r="E66" s="44"/>
      <c r="F66" s="44"/>
      <c r="G66" s="44"/>
      <c r="H66" s="44"/>
      <c r="I66" s="44"/>
    </row>
    <row r="67" spans="1:9">
      <c r="A67" s="44"/>
      <c r="B67" s="44"/>
      <c r="C67" s="44"/>
      <c r="D67" s="44"/>
      <c r="E67" s="44"/>
      <c r="F67" s="44"/>
      <c r="G67" s="44"/>
      <c r="H67" s="44"/>
      <c r="I67" s="44"/>
    </row>
    <row r="68" spans="1:9" ht="17.399999999999999">
      <c r="A68" s="1588"/>
      <c r="B68" s="1588"/>
      <c r="C68" s="1588"/>
      <c r="D68" s="1588"/>
      <c r="E68" s="1588"/>
      <c r="F68" s="1588"/>
      <c r="G68" s="43"/>
      <c r="H68" s="44"/>
      <c r="I68" s="44"/>
    </row>
    <row r="69" spans="1:9" ht="14.4">
      <c r="A69" s="177" t="s">
        <v>484</v>
      </c>
      <c r="B69" s="177"/>
      <c r="C69" s="177"/>
      <c r="D69" s="177"/>
      <c r="E69" s="177"/>
      <c r="F69" s="177"/>
    </row>
    <row r="70" spans="1:9" ht="14.4">
      <c r="A70" s="177"/>
      <c r="B70" s="177">
        <f>+A47</f>
        <v>2022</v>
      </c>
      <c r="C70" s="177">
        <f>+B47</f>
        <v>2023</v>
      </c>
      <c r="D70" s="177">
        <f>+C47</f>
        <v>2024</v>
      </c>
      <c r="E70" s="177">
        <f>+D47</f>
        <v>2025</v>
      </c>
      <c r="F70" s="177">
        <f>+E47</f>
        <v>2026</v>
      </c>
    </row>
    <row r="71" spans="1:9" ht="14.4">
      <c r="A71" s="177" t="s">
        <v>485</v>
      </c>
      <c r="B71" s="177"/>
      <c r="C71" s="177"/>
      <c r="D71" s="177"/>
      <c r="E71" s="177"/>
      <c r="F71" s="177"/>
    </row>
    <row r="72" spans="1:9" ht="14.4">
      <c r="A72" s="177" t="s">
        <v>486</v>
      </c>
      <c r="B72" s="177" t="b">
        <f>Forecast!F59=Forecast!H57</f>
        <v>1</v>
      </c>
      <c r="C72" s="177" t="b">
        <f>Forecast!H59=Forecast!I57</f>
        <v>1</v>
      </c>
      <c r="D72" s="177" t="b">
        <f>Forecast!I59=Forecast!J57</f>
        <v>1</v>
      </c>
      <c r="E72" s="177" t="b">
        <f>Forecast!J59=Forecast!K57</f>
        <v>1</v>
      </c>
      <c r="F72" s="177" t="b">
        <f>Forecast!K59=Forecast!L57</f>
        <v>1</v>
      </c>
    </row>
    <row r="73" spans="1:9" ht="14.4">
      <c r="A73" s="177" t="s">
        <v>487</v>
      </c>
      <c r="B73" s="177" t="b">
        <f>+Forecast!H29-Forecast!H54+Forecast!H57=Forecast!H59</f>
        <v>1</v>
      </c>
      <c r="C73" s="177" t="b">
        <f>+Forecast!I29-Forecast!I54+Forecast!I57=Forecast!I59</f>
        <v>1</v>
      </c>
      <c r="D73" s="177" t="b">
        <f>+Forecast!J29-Forecast!J54+Forecast!J57=Forecast!J59</f>
        <v>1</v>
      </c>
      <c r="E73" s="177" t="b">
        <f>+Forecast!K29-Forecast!K54+Forecast!K57=Forecast!K59</f>
        <v>1</v>
      </c>
      <c r="F73" s="177" t="b">
        <f>+Forecast!L29-Forecast!L54+Forecast!L57=Forecast!L59</f>
        <v>1</v>
      </c>
    </row>
    <row r="74" spans="1:9" ht="14.4">
      <c r="A74" s="177" t="s">
        <v>488</v>
      </c>
      <c r="B74" s="177" t="e">
        <f>+Tax!#REF!=Forecast!H79</f>
        <v>#REF!</v>
      </c>
      <c r="C74" s="177" t="e">
        <f>+Tax!#REF!=Forecast!I79</f>
        <v>#REF!</v>
      </c>
      <c r="D74" s="177" t="b">
        <f>+Tax!D172=Forecast!J79</f>
        <v>0</v>
      </c>
      <c r="E74" s="177" t="b">
        <f>+Tax!E172=Forecast!K79</f>
        <v>0</v>
      </c>
      <c r="F74" s="177" t="b">
        <f>+Tax!F172=Forecast!L79</f>
        <v>0</v>
      </c>
    </row>
    <row r="75" spans="1:9" ht="14.4">
      <c r="A75" s="177" t="s">
        <v>489</v>
      </c>
      <c r="B75" s="178" t="str">
        <f>IF(Forecast!H79&gt;0,Forecast!H78+Forecast!H77&lt;&gt;Forecast!H79,"n/a")</f>
        <v>n/a</v>
      </c>
      <c r="C75" s="178" t="b">
        <f>IF(Forecast!I79&gt;0,Forecast!I78+Forecast!I77&lt;&gt;Forecast!I79,"n/a")</f>
        <v>0</v>
      </c>
      <c r="D75" s="178" t="b">
        <f>IF(Forecast!J79&gt;0,Forecast!J78+Forecast!J77&lt;&gt;Forecast!J79,"n/a")</f>
        <v>1</v>
      </c>
      <c r="E75" s="178" t="b">
        <f>IF(Forecast!K79&gt;0,Forecast!K78+Forecast!K77&lt;&gt;Forecast!K79,"n/a")</f>
        <v>1</v>
      </c>
      <c r="F75" s="178" t="b">
        <f>IF(Forecast!L79&gt;0,Forecast!L78+Forecast!L77&lt;&gt;Forecast!L79,"n/a")</f>
        <v>1</v>
      </c>
    </row>
    <row r="76" spans="1:9" ht="14.4">
      <c r="A76" s="177" t="s">
        <v>490</v>
      </c>
      <c r="B76" s="177" t="e">
        <f>+Tax!#REF!=Forecast!H85</f>
        <v>#REF!</v>
      </c>
      <c r="C76" s="177" t="e">
        <f>+Tax!#REF!=Forecast!I85</f>
        <v>#REF!</v>
      </c>
      <c r="D76" s="177" t="e">
        <f>+Tax!#REF!=Forecast!J85</f>
        <v>#REF!</v>
      </c>
      <c r="E76" s="177" t="e">
        <f>+Tax!#REF!=Forecast!K85</f>
        <v>#REF!</v>
      </c>
      <c r="F76" s="177" t="b">
        <f>+Tax!D180=Forecast!L85</f>
        <v>0</v>
      </c>
    </row>
    <row r="77" spans="1:9" ht="14.4">
      <c r="A77" s="177" t="s">
        <v>489</v>
      </c>
      <c r="B77" s="178" t="str">
        <f>IF(Forecast!H85&gt;0,Forecast!H82+Forecast!H83&lt;&gt;Forecast!H85,"n/a")</f>
        <v>n/a</v>
      </c>
      <c r="C77" s="178" t="str">
        <f>IF(Forecast!I85&gt;0,Forecast!I82+Forecast!I83&lt;&gt;Forecast!I85,"n/a")</f>
        <v>n/a</v>
      </c>
      <c r="D77" s="178" t="str">
        <f>IF(Forecast!J85&gt;0,Forecast!J82+Forecast!J83&lt;&gt;Forecast!J85,"n/a")</f>
        <v>n/a</v>
      </c>
      <c r="E77" s="178" t="str">
        <f>IF(Forecast!K85&gt;0,Forecast!K82+Forecast!K83&lt;&gt;Forecast!K85,"n/a")</f>
        <v>n/a</v>
      </c>
      <c r="F77" s="178" t="str">
        <f>IF(Forecast!L85&gt;0,Forecast!L82+Forecast!L83&lt;&gt;Forecast!L85,"n/a")</f>
        <v>n/a</v>
      </c>
    </row>
    <row r="78" spans="1:9" ht="14.4">
      <c r="A78" s="177"/>
      <c r="B78" s="177"/>
      <c r="C78" s="177"/>
      <c r="D78" s="177"/>
      <c r="E78" s="177"/>
      <c r="F78" s="177"/>
    </row>
    <row r="79" spans="1:9" ht="14.4">
      <c r="A79" s="177" t="s">
        <v>491</v>
      </c>
      <c r="B79" s="177"/>
      <c r="C79" s="177"/>
      <c r="D79" s="177"/>
      <c r="E79" s="177"/>
      <c r="F79" s="177"/>
    </row>
    <row r="80" spans="1:9" ht="14.4">
      <c r="A80" s="177" t="s">
        <v>100</v>
      </c>
      <c r="B80" s="179">
        <f>+Forecast!H29-Submit!G28</f>
        <v>0</v>
      </c>
      <c r="C80" s="179">
        <f>+Forecast!I29-Submit!H28</f>
        <v>0</v>
      </c>
      <c r="D80" s="179">
        <f>+Forecast!J29-Submit!I28</f>
        <v>0</v>
      </c>
      <c r="E80" s="179">
        <f>+Forecast!K29-Submit!J28</f>
        <v>0</v>
      </c>
      <c r="F80" s="179">
        <f>+Forecast!L29-Submit!K28</f>
        <v>0</v>
      </c>
    </row>
    <row r="81" spans="1:9" ht="14.4">
      <c r="A81" s="177" t="s">
        <v>492</v>
      </c>
      <c r="B81" s="179">
        <f>+Forecast!H54-Submit!G53</f>
        <v>0</v>
      </c>
      <c r="C81" s="179">
        <f>+Forecast!I54-Submit!H53</f>
        <v>0</v>
      </c>
      <c r="D81" s="179">
        <f>+Forecast!J54-Submit!I53</f>
        <v>0</v>
      </c>
      <c r="E81" s="179">
        <f>+Forecast!K54-Submit!J53</f>
        <v>0</v>
      </c>
      <c r="F81" s="179">
        <f>+Forecast!L54-Submit!K53</f>
        <v>0</v>
      </c>
    </row>
    <row r="82" spans="1:9" ht="14.4">
      <c r="A82" s="177" t="s">
        <v>493</v>
      </c>
      <c r="B82" s="179">
        <f>+Forecast!H57-Submit!G56</f>
        <v>6532351</v>
      </c>
      <c r="C82" s="179">
        <f>+Forecast!I57-Submit!H56</f>
        <v>5417966</v>
      </c>
      <c r="D82" s="179">
        <f>+Forecast!J57-Submit!I56</f>
        <v>3304066</v>
      </c>
      <c r="E82" s="179">
        <f>+Forecast!K57-Submit!J56</f>
        <v>-712384</v>
      </c>
      <c r="F82" s="179">
        <f>+Forecast!L57-Submit!K56</f>
        <v>-5498098</v>
      </c>
    </row>
    <row r="83" spans="1:9" ht="14.4">
      <c r="A83" s="177" t="s">
        <v>494</v>
      </c>
      <c r="B83" s="179">
        <f>+Forecast!H59-Submit!G58</f>
        <v>5417966</v>
      </c>
      <c r="C83" s="179">
        <f>+Forecast!I59-Submit!H58</f>
        <v>3304066</v>
      </c>
      <c r="D83" s="179">
        <f>+Forecast!J59-Submit!I58</f>
        <v>-712384</v>
      </c>
      <c r="E83" s="179">
        <f>+Forecast!K59-Submit!J58</f>
        <v>-5498098</v>
      </c>
      <c r="F83" s="179">
        <f>+Forecast!L59-Submit!K58</f>
        <v>-10950551</v>
      </c>
    </row>
    <row r="84" spans="1:9" ht="14.4">
      <c r="A84" s="177" t="s">
        <v>495</v>
      </c>
      <c r="B84" s="179">
        <f>+Forecast!H79-Submit!G78</f>
        <v>0</v>
      </c>
      <c r="C84" s="179">
        <f>+Forecast!I79-Submit!H78</f>
        <v>0</v>
      </c>
      <c r="D84" s="179">
        <f>+Forecast!J79-Submit!I78</f>
        <v>903671</v>
      </c>
      <c r="E84" s="179">
        <f>+Forecast!K79-Submit!J78</f>
        <v>2689147</v>
      </c>
      <c r="F84" s="179">
        <f>+Forecast!L79-Submit!K78</f>
        <v>4474623</v>
      </c>
    </row>
    <row r="85" spans="1:9" ht="14.4">
      <c r="A85" s="177" t="s">
        <v>496</v>
      </c>
      <c r="B85" s="179">
        <f>+Forecast!H85-Submit!G85</f>
        <v>0</v>
      </c>
      <c r="C85" s="179">
        <f>+Forecast!I85-Submit!H85</f>
        <v>0</v>
      </c>
      <c r="D85" s="179">
        <f>+Forecast!J85-Submit!I85</f>
        <v>0</v>
      </c>
      <c r="E85" s="179">
        <f>+Forecast!K85-Submit!J85</f>
        <v>0</v>
      </c>
      <c r="F85" s="179">
        <f>+Forecast!L85-Submit!K85</f>
        <v>0</v>
      </c>
    </row>
    <row r="86" spans="1:9" ht="14.4">
      <c r="A86" s="177" t="s">
        <v>497</v>
      </c>
      <c r="B86" s="179">
        <f>+Forecast!H89-Submit!G88</f>
        <v>0</v>
      </c>
      <c r="C86" s="179">
        <f>+Forecast!I89-Submit!H88</f>
        <v>0</v>
      </c>
      <c r="D86" s="179">
        <f>+Forecast!J89-Submit!I88</f>
        <v>0</v>
      </c>
      <c r="E86" s="179">
        <f>+Forecast!K89-Submit!J88</f>
        <v>0</v>
      </c>
      <c r="F86" s="179">
        <f>+Forecast!L89-Submit!K88</f>
        <v>0</v>
      </c>
    </row>
    <row r="87" spans="1:9" s="151" customFormat="1"/>
    <row r="88" spans="1:9">
      <c r="A88" s="151"/>
      <c r="B88" s="151">
        <f>+B70-3</f>
        <v>2019</v>
      </c>
      <c r="C88" s="151">
        <f>+B88+1</f>
        <v>2020</v>
      </c>
      <c r="D88" s="151">
        <f t="shared" ref="D88:E88" si="0">+C88+1</f>
        <v>2021</v>
      </c>
      <c r="E88" s="151">
        <f t="shared" si="0"/>
        <v>2022</v>
      </c>
      <c r="F88" s="151">
        <f t="shared" ref="F88" si="1">+E88+1</f>
        <v>2023</v>
      </c>
      <c r="G88" s="151">
        <f t="shared" ref="G88" si="2">+F88+1</f>
        <v>2024</v>
      </c>
      <c r="H88" s="151">
        <f t="shared" ref="H88" si="3">+G88+1</f>
        <v>2025</v>
      </c>
      <c r="I88" s="151">
        <f t="shared" ref="I88" si="4">+H88+1</f>
        <v>2026</v>
      </c>
    </row>
    <row r="89" spans="1:9">
      <c r="A89" s="151" t="s">
        <v>907</v>
      </c>
      <c r="B89" s="151">
        <f>SUM(Submit!C11:C18)-Submit!C19</f>
        <v>0</v>
      </c>
      <c r="C89" s="151">
        <f>SUM(Submit!D11:D18)-Submit!D19</f>
        <v>0</v>
      </c>
      <c r="D89" s="151">
        <f>SUM(Submit!E11:E18)-Submit!E19</f>
        <v>0</v>
      </c>
      <c r="E89" s="151">
        <f>SUM(Submit!G11:G18)-Submit!G19</f>
        <v>0</v>
      </c>
      <c r="F89" s="151">
        <f>SUM(Submit!H11:H18)-Submit!H19</f>
        <v>0</v>
      </c>
      <c r="G89" s="151">
        <f>SUM(Submit!I11:I18)-Submit!I19</f>
        <v>0</v>
      </c>
      <c r="H89" s="151">
        <f>SUM(Submit!J11:J18)-Submit!J19</f>
        <v>0</v>
      </c>
      <c r="I89" s="151">
        <f>SUM(Submit!K11:K18)-Submit!K19</f>
        <v>0</v>
      </c>
    </row>
    <row r="90" spans="1:9">
      <c r="A90" s="151" t="s">
        <v>908</v>
      </c>
      <c r="B90" s="151">
        <f>SUM(Submit!C22:C26)+Submit!C19-Submit!C28</f>
        <v>0</v>
      </c>
      <c r="C90" s="151">
        <f>SUM(Submit!D22:D26)+Submit!D19-Submit!D28</f>
        <v>0</v>
      </c>
      <c r="D90" s="151">
        <f>SUM(Submit!E22:E26)+Submit!E19-Submit!E28</f>
        <v>0</v>
      </c>
      <c r="E90" s="151">
        <f>SUM(Submit!G22:G26)+Submit!G19-Submit!G28</f>
        <v>0</v>
      </c>
      <c r="F90" s="151">
        <f>SUM(Submit!H22:H26)+Submit!H19-Submit!H28</f>
        <v>0</v>
      </c>
      <c r="G90" s="151">
        <f>SUM(Submit!I22:I26)+Submit!I19-Submit!I28</f>
        <v>0</v>
      </c>
      <c r="H90" s="151">
        <f>SUM(Submit!J22:J26)+Submit!J19-Submit!J28</f>
        <v>0</v>
      </c>
      <c r="I90" s="151">
        <f>SUM(Submit!K22:K26)+Submit!K19-Submit!K28</f>
        <v>0</v>
      </c>
    </row>
    <row r="91" spans="1:9">
      <c r="A91" s="151" t="s">
        <v>909</v>
      </c>
      <c r="B91" s="151">
        <f>SUM(Submit!C31:C45)-Submit!C46</f>
        <v>0</v>
      </c>
      <c r="C91" s="151">
        <f>SUM(Submit!D31:D45)-Submit!D46</f>
        <v>0</v>
      </c>
      <c r="D91" s="151">
        <f>SUM(Submit!E31:E45)-Submit!E46</f>
        <v>0</v>
      </c>
      <c r="E91" s="151">
        <f>SUM(Submit!G31:G45)-Submit!G46</f>
        <v>0</v>
      </c>
      <c r="F91" s="151">
        <f>SUM(Submit!H31:H45)-Submit!H46</f>
        <v>0</v>
      </c>
      <c r="G91" s="151">
        <f>SUM(Submit!I31:I45)-Submit!I46</f>
        <v>0</v>
      </c>
      <c r="H91" s="151">
        <f>SUM(Submit!J31:J45)-Submit!J46</f>
        <v>0</v>
      </c>
      <c r="I91" s="151">
        <f>SUM(Submit!K31:K45)-Submit!K46</f>
        <v>0</v>
      </c>
    </row>
    <row r="92" spans="1:9">
      <c r="A92" s="151" t="s">
        <v>137</v>
      </c>
      <c r="B92" s="151">
        <f>SUM(Submit!C49:C51)+Submit!C46-Submit!C53</f>
        <v>0</v>
      </c>
      <c r="C92" s="151">
        <f>SUM(Submit!D49:D51)+Submit!D46-Submit!D53</f>
        <v>0</v>
      </c>
      <c r="D92" s="151">
        <f>SUM(Submit!E49:E51)+Submit!E46-Submit!E53</f>
        <v>0</v>
      </c>
      <c r="E92" s="151">
        <f>SUM(Submit!G49:G51)+Submit!G46-Submit!G53</f>
        <v>0</v>
      </c>
      <c r="F92" s="151">
        <f>SUM(Submit!H49:H51)+Submit!H46-Submit!H53</f>
        <v>0</v>
      </c>
      <c r="G92" s="151">
        <f>SUM(Submit!I49:I51)+Submit!I46-Submit!I53</f>
        <v>0</v>
      </c>
      <c r="H92" s="151">
        <f>SUM(Submit!J49:J51)+Submit!J46-Submit!J53</f>
        <v>0</v>
      </c>
      <c r="I92" s="151">
        <f>SUM(Submit!K49:K51)+Submit!K46-Submit!K53</f>
        <v>0</v>
      </c>
    </row>
    <row r="93" spans="1:9">
      <c r="A93" s="151" t="s">
        <v>910</v>
      </c>
      <c r="B93" s="151">
        <f>+Submit!C28-Submit!C53-Submit!C54</f>
        <v>645365</v>
      </c>
      <c r="C93" s="151">
        <f>+Submit!D28-Submit!D53-Submit!D54</f>
        <v>-500847</v>
      </c>
      <c r="D93" s="151">
        <f>+Submit!E28-Submit!E53-Submit!E54</f>
        <v>3050</v>
      </c>
      <c r="E93" s="151">
        <f>+Submit!G28-Submit!G53-Submit!G54</f>
        <v>-1114385</v>
      </c>
      <c r="F93" s="151">
        <f>+Submit!H28-Submit!H53-Submit!H54</f>
        <v>-2113900</v>
      </c>
      <c r="G93" s="151">
        <f>+Submit!I28-Submit!I53-Submit!I54</f>
        <v>-4016450</v>
      </c>
      <c r="H93" s="151">
        <f>+Submit!J28-Submit!J53-Submit!J54</f>
        <v>-4785714</v>
      </c>
      <c r="I93" s="151">
        <f>+Submit!K28-Submit!K53-Submit!K54</f>
        <v>-5452453</v>
      </c>
    </row>
    <row r="94" spans="1:9">
      <c r="A94" s="151" t="s">
        <v>473</v>
      </c>
      <c r="B94" s="682"/>
      <c r="C94" s="151">
        <f>+Submit!D57-Submit!C59</f>
        <v>0</v>
      </c>
      <c r="D94" s="151">
        <f>+Submit!E57-Submit!D59</f>
        <v>0</v>
      </c>
      <c r="E94" s="151">
        <f>+Submit!H57-Submit!G59</f>
        <v>0</v>
      </c>
      <c r="F94" s="151">
        <f>+Submit!I57-Submit!H59</f>
        <v>0</v>
      </c>
      <c r="G94" s="151">
        <f>+Submit!J57-Submit!I59</f>
        <v>0</v>
      </c>
      <c r="H94" s="151">
        <f>+Submit!K57-Submit!J59</f>
        <v>0</v>
      </c>
      <c r="I94" s="151">
        <f>+Submit!L57-Submit!K59</f>
        <v>10950551</v>
      </c>
    </row>
    <row r="95" spans="1:9">
      <c r="A95" s="151" t="s">
        <v>487</v>
      </c>
      <c r="B95" s="151">
        <f>+Submit!C57+Submit!C55-Submit!C59</f>
        <v>0</v>
      </c>
      <c r="C95" s="151">
        <f>+Submit!D57+Submit!D55-Submit!D59</f>
        <v>0</v>
      </c>
      <c r="D95" s="151">
        <f>+Submit!E57+Submit!E55-Submit!E59</f>
        <v>0</v>
      </c>
      <c r="E95" s="151">
        <f>+Submit!H57+Submit!H55-Submit!H59</f>
        <v>0</v>
      </c>
      <c r="F95" s="151">
        <f>+Submit!I57+Submit!I55-Submit!I59</f>
        <v>0</v>
      </c>
      <c r="G95" s="151">
        <f>+Submit!J57+Submit!J55-Submit!J59</f>
        <v>0</v>
      </c>
      <c r="H95" s="151">
        <f>+Submit!K57+Submit!K55-Submit!K59</f>
        <v>0</v>
      </c>
      <c r="I95" s="151">
        <f>+Submit!L57+Submit!L55-Submit!L59</f>
        <v>0</v>
      </c>
    </row>
    <row r="96" spans="1:9">
      <c r="A96" s="597">
        <v>10.01</v>
      </c>
      <c r="B96" s="151">
        <f>+Submit!C59-Submit!C61-Submit!C71-Submit!C73</f>
        <v>7030148</v>
      </c>
      <c r="C96" s="151">
        <f>+Submit!D59-Submit!D61-Submit!D71-Submit!D73</f>
        <v>6529301</v>
      </c>
      <c r="D96" s="151">
        <f>+Submit!E59-Submit!E61-Submit!E71-Submit!E73</f>
        <v>6532351</v>
      </c>
      <c r="E96" s="151">
        <f>+Submit!H59-Submit!H61-Submit!H71-Submit!H73</f>
        <v>3304066</v>
      </c>
      <c r="F96" s="151">
        <f>+Submit!I59-Submit!I61-Submit!I71-Submit!I73</f>
        <v>-712384</v>
      </c>
      <c r="G96" s="151">
        <f>+Submit!J59-Submit!J61-Submit!J71-Submit!J73</f>
        <v>-5498098</v>
      </c>
      <c r="H96" s="151">
        <f>+Submit!K59-Submit!K61-Submit!K71-Submit!K73</f>
        <v>-10950551</v>
      </c>
      <c r="I96" s="151">
        <f>+Submit!L59-Submit!L61-Submit!L71-Submit!L73</f>
        <v>0</v>
      </c>
    </row>
    <row r="97" spans="1:12">
      <c r="A97" s="597">
        <v>12.01</v>
      </c>
      <c r="B97" s="151">
        <f>+Submit!C79-Submit!C72</f>
        <v>0</v>
      </c>
      <c r="C97" s="151">
        <f>+Submit!D79-Submit!D72</f>
        <v>0</v>
      </c>
      <c r="D97" s="151">
        <f>+Submit!E79-Submit!E72</f>
        <v>0</v>
      </c>
      <c r="E97" s="151">
        <f>+Submit!G79-Submit!G72</f>
        <v>0</v>
      </c>
      <c r="F97" s="151">
        <f>+Submit!H79-Submit!H72</f>
        <v>0</v>
      </c>
      <c r="G97" s="151">
        <f>+Submit!I79-Submit!I72</f>
        <v>0</v>
      </c>
      <c r="H97" s="151">
        <f>+Submit!J79-Submit!J72</f>
        <v>0</v>
      </c>
      <c r="I97" s="151">
        <f>+Submit!K79-Submit!K72</f>
        <v>0</v>
      </c>
      <c r="J97" s="151"/>
      <c r="K97" s="151"/>
      <c r="L97" s="151"/>
    </row>
    <row r="98" spans="1:12">
      <c r="A98" s="597">
        <v>15.01</v>
      </c>
      <c r="B98" s="151">
        <f>+Submit!C89-Submit!C72</f>
        <v>0</v>
      </c>
      <c r="C98" s="151">
        <f>+Submit!D89-Submit!D72</f>
        <v>0</v>
      </c>
      <c r="D98" s="151">
        <f>+Submit!E89-Submit!E72</f>
        <v>0</v>
      </c>
      <c r="E98" s="151">
        <f>+Submit!G89-Submit!G72</f>
        <v>0</v>
      </c>
      <c r="F98" s="151">
        <f>+Submit!H89-Submit!H72</f>
        <v>0</v>
      </c>
      <c r="G98" s="151">
        <f>+Submit!I89-Submit!I72</f>
        <v>0</v>
      </c>
      <c r="H98" s="151">
        <f>+Submit!J89-Submit!J72</f>
        <v>0</v>
      </c>
      <c r="I98" s="151">
        <f>+Submit!K89-Submit!K72</f>
        <v>0</v>
      </c>
      <c r="J98" s="151"/>
      <c r="K98" s="151"/>
      <c r="L98" s="151"/>
    </row>
  </sheetData>
  <mergeCells count="13">
    <mergeCell ref="A68:F68"/>
    <mergeCell ref="A43:F43"/>
    <mergeCell ref="A2:G2"/>
    <mergeCell ref="A3:G3"/>
    <mergeCell ref="A4:G4"/>
    <mergeCell ref="A5:G5"/>
    <mergeCell ref="A6:G6"/>
    <mergeCell ref="A7:G7"/>
    <mergeCell ref="A39:G39"/>
    <mergeCell ref="A40:G40"/>
    <mergeCell ref="A41:G41"/>
    <mergeCell ref="A42:G42"/>
    <mergeCell ref="A44:G44"/>
  </mergeCells>
  <phoneticPr fontId="0" type="noConversion"/>
  <pageMargins left="0.75" right="0.75" top="1" bottom="1" header="0.5" footer="0.5"/>
  <pageSetup scale="98" orientation="portrait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7030A0"/>
  </sheetPr>
  <dimension ref="A1:Q61"/>
  <sheetViews>
    <sheetView workbookViewId="0">
      <selection activeCell="I3" sqref="I3"/>
    </sheetView>
  </sheetViews>
  <sheetFormatPr defaultColWidth="9.109375" defaultRowHeight="13.2"/>
  <cols>
    <col min="1" max="1" width="7.6640625" style="151" customWidth="1"/>
    <col min="2" max="2" width="23.44140625" style="151" customWidth="1"/>
    <col min="3" max="9" width="14.6640625" style="151" customWidth="1"/>
    <col min="10" max="12" width="9.109375" style="151"/>
    <col min="13" max="13" width="43.33203125" style="151" bestFit="1" customWidth="1"/>
    <col min="14" max="16384" width="9.109375" style="151"/>
  </cols>
  <sheetData>
    <row r="1" spans="1:17" ht="15.6">
      <c r="A1" s="630" t="str">
        <f>"DISTRICT STAFFING PLAN AND COST ESTIMATES THROUGH FY"&amp;Cover!E47</f>
        <v>DISTRICT STAFFING PLAN AND COST ESTIMATES THROUGH FY2026</v>
      </c>
      <c r="B1" s="630"/>
      <c r="C1" s="314"/>
      <c r="D1" s="489"/>
      <c r="E1" s="593"/>
      <c r="F1" s="593"/>
      <c r="G1" s="593"/>
      <c r="H1" s="593"/>
      <c r="I1" s="593"/>
      <c r="J1" s="206"/>
      <c r="K1" s="561"/>
      <c r="Q1" s="561"/>
    </row>
    <row r="2" spans="1:17" ht="13.8" thickBot="1"/>
    <row r="3" spans="1:17" ht="16.2" thickBot="1">
      <c r="A3" s="490"/>
      <c r="B3" s="491"/>
      <c r="C3" s="207" t="s">
        <v>432</v>
      </c>
      <c r="D3" s="207" t="str">
        <f>+'Note Calc'!E26</f>
        <v>FY21</v>
      </c>
      <c r="E3" s="208" t="str">
        <f>+'Note Calc'!F26</f>
        <v>FY22</v>
      </c>
      <c r="F3" s="208" t="str">
        <f>+'Note Calc'!G26</f>
        <v>FY23</v>
      </c>
      <c r="G3" s="208" t="str">
        <f>+'Note Calc'!H26</f>
        <v>FY24</v>
      </c>
      <c r="H3" s="208" t="str">
        <f>+'Note Calc'!I26</f>
        <v>FY25</v>
      </c>
      <c r="I3" s="208" t="s">
        <v>1001</v>
      </c>
    </row>
    <row r="4" spans="1:17" ht="67.8" thickBot="1">
      <c r="A4" s="156"/>
      <c r="B4" s="153"/>
      <c r="C4" s="209" t="s">
        <v>701</v>
      </c>
      <c r="D4" s="209" t="s">
        <v>701</v>
      </c>
      <c r="E4" s="210" t="s">
        <v>701</v>
      </c>
      <c r="F4" s="210" t="s">
        <v>701</v>
      </c>
      <c r="G4" s="210" t="s">
        <v>701</v>
      </c>
      <c r="H4" s="210" t="s">
        <v>701</v>
      </c>
      <c r="I4" s="210" t="s">
        <v>701</v>
      </c>
      <c r="L4" s="292"/>
      <c r="M4" s="297"/>
      <c r="N4" s="306" t="s">
        <v>710</v>
      </c>
      <c r="O4" s="308" t="s">
        <v>717</v>
      </c>
      <c r="P4" s="310" t="s">
        <v>712</v>
      </c>
    </row>
    <row r="5" spans="1:17">
      <c r="A5" s="211" t="s">
        <v>702</v>
      </c>
      <c r="B5" s="491"/>
      <c r="C5" s="212"/>
      <c r="D5" s="212"/>
      <c r="E5" s="213"/>
      <c r="F5" s="213"/>
      <c r="G5" s="213"/>
      <c r="H5" s="213"/>
      <c r="I5" s="213"/>
      <c r="L5" s="312"/>
      <c r="M5" s="313"/>
      <c r="N5" s="307"/>
      <c r="O5" s="309"/>
      <c r="P5" s="311"/>
    </row>
    <row r="6" spans="1:17">
      <c r="A6" s="214" t="s">
        <v>703</v>
      </c>
      <c r="B6" s="153"/>
      <c r="C6" s="215"/>
      <c r="D6" s="215"/>
      <c r="E6" s="216"/>
      <c r="F6" s="216"/>
      <c r="G6" s="216"/>
      <c r="H6" s="216"/>
      <c r="I6" s="216"/>
      <c r="L6" s="312"/>
      <c r="M6" s="313"/>
      <c r="N6" s="307"/>
      <c r="O6" s="309"/>
      <c r="P6" s="311"/>
    </row>
    <row r="7" spans="1:17" ht="13.8" thickBot="1">
      <c r="A7" s="217" t="s">
        <v>704</v>
      </c>
      <c r="B7" s="154"/>
      <c r="C7" s="218"/>
      <c r="D7" s="218"/>
      <c r="E7" s="219"/>
      <c r="F7" s="219"/>
      <c r="G7" s="219"/>
      <c r="H7" s="219"/>
      <c r="I7" s="219"/>
      <c r="L7" s="312"/>
      <c r="M7" s="313"/>
      <c r="N7" s="307"/>
      <c r="O7" s="309"/>
      <c r="P7" s="311"/>
    </row>
    <row r="8" spans="1:17">
      <c r="A8" s="211" t="s">
        <v>705</v>
      </c>
      <c r="B8" s="491"/>
      <c r="C8" s="220"/>
      <c r="D8" s="220"/>
      <c r="E8" s="221"/>
      <c r="F8" s="221"/>
      <c r="G8" s="221"/>
      <c r="H8" s="221"/>
      <c r="I8" s="221"/>
      <c r="L8" s="312"/>
      <c r="M8" s="313"/>
      <c r="N8" s="307"/>
      <c r="O8" s="309"/>
      <c r="P8" s="311"/>
    </row>
    <row r="9" spans="1:17">
      <c r="A9" s="214" t="s">
        <v>706</v>
      </c>
      <c r="B9" s="153"/>
      <c r="C9" s="222"/>
      <c r="D9" s="222"/>
      <c r="E9" s="223"/>
      <c r="F9" s="223"/>
      <c r="G9" s="223"/>
      <c r="H9" s="223"/>
      <c r="I9" s="223"/>
      <c r="L9" s="312"/>
      <c r="M9" s="313"/>
      <c r="N9" s="307"/>
      <c r="O9" s="309"/>
      <c r="P9" s="311"/>
    </row>
    <row r="10" spans="1:17" ht="13.8" thickBot="1">
      <c r="A10" s="217" t="s">
        <v>707</v>
      </c>
      <c r="B10" s="154"/>
      <c r="C10" s="224"/>
      <c r="D10" s="224"/>
      <c r="E10" s="225"/>
      <c r="F10" s="225"/>
      <c r="G10" s="225"/>
      <c r="H10" s="225"/>
      <c r="I10" s="225"/>
      <c r="L10" s="312"/>
      <c r="M10" s="313"/>
      <c r="N10" s="307"/>
      <c r="O10" s="309"/>
      <c r="P10" s="311"/>
    </row>
    <row r="11" spans="1:17" ht="13.8" thickBot="1">
      <c r="A11" s="226" t="s">
        <v>708</v>
      </c>
      <c r="B11" s="492"/>
      <c r="C11" s="227"/>
      <c r="D11" s="227"/>
      <c r="E11" s="228"/>
      <c r="F11" s="228"/>
      <c r="G11" s="228"/>
      <c r="H11" s="228"/>
      <c r="I11" s="228"/>
      <c r="L11" s="312"/>
      <c r="M11" s="313"/>
      <c r="N11" s="307"/>
      <c r="O11" s="309"/>
      <c r="P11" s="311"/>
    </row>
    <row r="12" spans="1:17" hidden="1">
      <c r="C12" s="229"/>
      <c r="D12" s="229"/>
      <c r="E12" s="229"/>
      <c r="F12" s="229"/>
      <c r="G12" s="229"/>
      <c r="H12" s="229"/>
      <c r="I12" s="229"/>
      <c r="L12" s="312"/>
      <c r="M12" s="313"/>
      <c r="N12" s="307"/>
      <c r="O12" s="309"/>
      <c r="P12" s="311"/>
    </row>
    <row r="13" spans="1:17" hidden="1">
      <c r="C13" s="229"/>
      <c r="D13" s="229"/>
      <c r="E13" s="229"/>
      <c r="F13" s="229"/>
      <c r="G13" s="229"/>
      <c r="H13" s="229"/>
      <c r="I13" s="229"/>
      <c r="L13" s="312"/>
      <c r="M13" s="313"/>
      <c r="N13" s="307"/>
      <c r="O13" s="309"/>
      <c r="P13" s="311"/>
    </row>
    <row r="14" spans="1:17" ht="18" hidden="1">
      <c r="A14" s="612" t="s">
        <v>709</v>
      </c>
      <c r="B14" s="613"/>
      <c r="C14" s="230" t="s">
        <v>432</v>
      </c>
      <c r="D14" s="230" t="str">
        <f t="shared" ref="D14:I14" si="0">+D3</f>
        <v>FY21</v>
      </c>
      <c r="E14" s="231" t="str">
        <f t="shared" si="0"/>
        <v>FY22</v>
      </c>
      <c r="F14" s="231" t="str">
        <f t="shared" si="0"/>
        <v>FY23</v>
      </c>
      <c r="G14" s="231" t="str">
        <f t="shared" si="0"/>
        <v>FY24</v>
      </c>
      <c r="H14" s="231" t="str">
        <f t="shared" si="0"/>
        <v>FY25</v>
      </c>
      <c r="I14" s="231" t="str">
        <f t="shared" si="0"/>
        <v>FY26</v>
      </c>
      <c r="L14" s="312"/>
      <c r="M14" s="313"/>
      <c r="N14" s="307"/>
      <c r="O14" s="309"/>
      <c r="P14" s="311"/>
    </row>
    <row r="15" spans="1:17" hidden="1">
      <c r="A15" s="232" t="s">
        <v>425</v>
      </c>
      <c r="B15" s="614" t="s">
        <v>710</v>
      </c>
      <c r="C15" s="233">
        <v>0</v>
      </c>
      <c r="D15" s="233">
        <v>0</v>
      </c>
      <c r="E15" s="249">
        <v>0</v>
      </c>
      <c r="F15" s="249">
        <v>0</v>
      </c>
      <c r="G15" s="249">
        <v>0</v>
      </c>
      <c r="H15" s="249">
        <v>0</v>
      </c>
      <c r="I15" s="249">
        <v>0</v>
      </c>
      <c r="L15" s="312"/>
      <c r="M15" s="313"/>
      <c r="N15" s="307"/>
      <c r="O15" s="309"/>
      <c r="P15" s="311"/>
    </row>
    <row r="16" spans="1:17" hidden="1">
      <c r="A16" s="234"/>
      <c r="B16" s="235" t="s">
        <v>711</v>
      </c>
      <c r="C16" s="236">
        <v>0</v>
      </c>
      <c r="D16" s="236">
        <v>0</v>
      </c>
      <c r="E16" s="253">
        <v>0</v>
      </c>
      <c r="F16" s="253">
        <v>0</v>
      </c>
      <c r="G16" s="253">
        <v>0</v>
      </c>
      <c r="H16" s="253">
        <v>0</v>
      </c>
      <c r="I16" s="253">
        <v>0</v>
      </c>
      <c r="L16" s="312"/>
      <c r="M16" s="313"/>
      <c r="N16" s="307"/>
      <c r="O16" s="309"/>
      <c r="P16" s="311"/>
    </row>
    <row r="17" spans="1:16" ht="14.4" hidden="1">
      <c r="A17" s="234"/>
      <c r="B17" s="235" t="s">
        <v>712</v>
      </c>
      <c r="C17" s="238">
        <v>0</v>
      </c>
      <c r="D17" s="238">
        <v>0</v>
      </c>
      <c r="E17" s="239">
        <v>0</v>
      </c>
      <c r="F17" s="239">
        <v>0</v>
      </c>
      <c r="G17" s="239">
        <v>0</v>
      </c>
      <c r="H17" s="239">
        <v>0</v>
      </c>
      <c r="I17" s="239">
        <v>0</v>
      </c>
      <c r="L17" s="312"/>
      <c r="M17" s="313"/>
      <c r="N17" s="307"/>
      <c r="O17" s="309"/>
      <c r="P17" s="311"/>
    </row>
    <row r="18" spans="1:16" hidden="1">
      <c r="A18" s="234"/>
      <c r="B18" s="235" t="s">
        <v>280</v>
      </c>
      <c r="C18" s="252">
        <v>0</v>
      </c>
      <c r="D18" s="252">
        <f t="shared" ref="D18:I18" si="1">SUM(D15:D17)</f>
        <v>0</v>
      </c>
      <c r="E18" s="237">
        <f t="shared" si="1"/>
        <v>0</v>
      </c>
      <c r="F18" s="237">
        <f t="shared" si="1"/>
        <v>0</v>
      </c>
      <c r="G18" s="237">
        <f t="shared" si="1"/>
        <v>0</v>
      </c>
      <c r="H18" s="237">
        <f t="shared" si="1"/>
        <v>0</v>
      </c>
      <c r="I18" s="237">
        <f t="shared" si="1"/>
        <v>0</v>
      </c>
      <c r="L18" s="312"/>
      <c r="M18" s="313"/>
      <c r="N18" s="307"/>
      <c r="O18" s="309"/>
      <c r="P18" s="311"/>
    </row>
    <row r="19" spans="1:16" hidden="1">
      <c r="A19" s="234"/>
      <c r="B19" s="235"/>
      <c r="C19" s="235"/>
      <c r="D19" s="235"/>
      <c r="E19" s="240"/>
      <c r="F19" s="240"/>
      <c r="G19" s="240"/>
      <c r="H19" s="240"/>
      <c r="I19" s="240"/>
      <c r="L19" s="312"/>
      <c r="M19" s="313"/>
      <c r="N19" s="307"/>
      <c r="O19" s="309"/>
      <c r="P19" s="311"/>
    </row>
    <row r="20" spans="1:16" hidden="1">
      <c r="A20" s="234" t="s">
        <v>713</v>
      </c>
      <c r="B20" s="235" t="s">
        <v>710</v>
      </c>
      <c r="C20" s="241">
        <v>0</v>
      </c>
      <c r="D20" s="241">
        <f t="shared" ref="D20:I20" si="2">((C15*C$5)*1/12)+(D15*D$5)*11/12</f>
        <v>0</v>
      </c>
      <c r="E20" s="493">
        <f t="shared" si="2"/>
        <v>0</v>
      </c>
      <c r="F20" s="493">
        <f t="shared" si="2"/>
        <v>0</v>
      </c>
      <c r="G20" s="493">
        <f t="shared" si="2"/>
        <v>0</v>
      </c>
      <c r="H20" s="493">
        <f t="shared" si="2"/>
        <v>0</v>
      </c>
      <c r="I20" s="493">
        <f t="shared" si="2"/>
        <v>0</v>
      </c>
      <c r="L20" s="312"/>
      <c r="M20" s="313"/>
      <c r="N20" s="307"/>
      <c r="O20" s="309"/>
      <c r="P20" s="311"/>
    </row>
    <row r="21" spans="1:16" hidden="1">
      <c r="A21" s="234"/>
      <c r="B21" s="235" t="s">
        <v>711</v>
      </c>
      <c r="C21" s="241">
        <v>0</v>
      </c>
      <c r="D21" s="241">
        <f t="shared" ref="D21:I21" si="3">((C16*C$6)*1/12)+(D16*D$6)*11/12</f>
        <v>0</v>
      </c>
      <c r="E21" s="493">
        <f t="shared" si="3"/>
        <v>0</v>
      </c>
      <c r="F21" s="493">
        <f t="shared" si="3"/>
        <v>0</v>
      </c>
      <c r="G21" s="493">
        <f t="shared" si="3"/>
        <v>0</v>
      </c>
      <c r="H21" s="493">
        <f t="shared" si="3"/>
        <v>0</v>
      </c>
      <c r="I21" s="493">
        <f t="shared" si="3"/>
        <v>0</v>
      </c>
      <c r="L21" s="312"/>
      <c r="M21" s="313"/>
      <c r="N21" s="307"/>
      <c r="O21" s="309"/>
      <c r="P21" s="311"/>
    </row>
    <row r="22" spans="1:16" hidden="1">
      <c r="A22" s="234"/>
      <c r="B22" s="235" t="s">
        <v>712</v>
      </c>
      <c r="C22" s="291">
        <v>0</v>
      </c>
      <c r="D22" s="291">
        <f t="shared" ref="D22:I22" si="4">((C17*C$7)*2/12)+(D17*D$7)*10/12</f>
        <v>0</v>
      </c>
      <c r="E22" s="494">
        <f t="shared" si="4"/>
        <v>0</v>
      </c>
      <c r="F22" s="494">
        <f t="shared" si="4"/>
        <v>0</v>
      </c>
      <c r="G22" s="494">
        <f t="shared" si="4"/>
        <v>0</v>
      </c>
      <c r="H22" s="494">
        <f t="shared" si="4"/>
        <v>0</v>
      </c>
      <c r="I22" s="494">
        <f t="shared" si="4"/>
        <v>0</v>
      </c>
      <c r="L22" s="312"/>
      <c r="M22" s="313"/>
      <c r="N22" s="307"/>
      <c r="O22" s="309"/>
      <c r="P22" s="311"/>
    </row>
    <row r="23" spans="1:16" ht="13.8" hidden="1" thickBot="1">
      <c r="A23" s="242"/>
      <c r="B23" s="615" t="s">
        <v>714</v>
      </c>
      <c r="C23" s="243">
        <v>0</v>
      </c>
      <c r="D23" s="243">
        <f t="shared" ref="D23:I23" si="5">SUM(D20:D22)</f>
        <v>0</v>
      </c>
      <c r="E23" s="244">
        <f t="shared" si="5"/>
        <v>0</v>
      </c>
      <c r="F23" s="244">
        <f t="shared" si="5"/>
        <v>0</v>
      </c>
      <c r="G23" s="244">
        <f t="shared" si="5"/>
        <v>0</v>
      </c>
      <c r="H23" s="244">
        <f t="shared" si="5"/>
        <v>0</v>
      </c>
      <c r="I23" s="244">
        <f t="shared" si="5"/>
        <v>0</v>
      </c>
      <c r="L23" s="312"/>
      <c r="M23" s="313"/>
      <c r="N23" s="307"/>
      <c r="O23" s="309"/>
      <c r="P23" s="311"/>
    </row>
    <row r="24" spans="1:16" ht="13.8" thickBot="1">
      <c r="L24" s="312"/>
      <c r="M24" s="313"/>
      <c r="N24" s="307"/>
      <c r="O24" s="309"/>
      <c r="P24" s="311"/>
    </row>
    <row r="25" spans="1:16" ht="18.600000000000001" thickBot="1">
      <c r="A25" s="616" t="s">
        <v>426</v>
      </c>
      <c r="B25" s="617"/>
      <c r="C25" s="245" t="s">
        <v>432</v>
      </c>
      <c r="D25" s="245" t="str">
        <f t="shared" ref="D25:I25" si="6">+D14</f>
        <v>FY21</v>
      </c>
      <c r="E25" s="246" t="str">
        <f t="shared" si="6"/>
        <v>FY22</v>
      </c>
      <c r="F25" s="246" t="str">
        <f t="shared" si="6"/>
        <v>FY23</v>
      </c>
      <c r="G25" s="246" t="str">
        <f t="shared" si="6"/>
        <v>FY24</v>
      </c>
      <c r="H25" s="246" t="str">
        <f t="shared" si="6"/>
        <v>FY25</v>
      </c>
      <c r="I25" s="246" t="str">
        <f t="shared" si="6"/>
        <v>FY26</v>
      </c>
      <c r="L25" s="312"/>
      <c r="M25" s="313"/>
      <c r="N25" s="307"/>
      <c r="O25" s="309"/>
      <c r="P25" s="311"/>
    </row>
    <row r="26" spans="1:16">
      <c r="A26" s="247" t="s">
        <v>425</v>
      </c>
      <c r="B26" s="618" t="s">
        <v>710</v>
      </c>
      <c r="C26" s="248">
        <v>0</v>
      </c>
      <c r="D26" s="248">
        <v>0</v>
      </c>
      <c r="E26" s="249">
        <v>0</v>
      </c>
      <c r="F26" s="249">
        <v>0</v>
      </c>
      <c r="G26" s="249">
        <v>0</v>
      </c>
      <c r="H26" s="249">
        <v>0</v>
      </c>
      <c r="I26" s="249">
        <v>0</v>
      </c>
      <c r="L26" s="312"/>
      <c r="M26" s="313"/>
      <c r="N26" s="307"/>
      <c r="O26" s="309"/>
      <c r="P26" s="311"/>
    </row>
    <row r="27" spans="1:16">
      <c r="A27" s="250"/>
      <c r="B27" s="251" t="s">
        <v>711</v>
      </c>
      <c r="C27" s="252"/>
      <c r="D27" s="252">
        <v>0</v>
      </c>
      <c r="E27" s="253">
        <v>0</v>
      </c>
      <c r="F27" s="253">
        <v>0</v>
      </c>
      <c r="G27" s="253">
        <v>0</v>
      </c>
      <c r="H27" s="253">
        <v>0</v>
      </c>
      <c r="I27" s="253">
        <v>0</v>
      </c>
      <c r="L27" s="312"/>
      <c r="M27" s="313"/>
      <c r="N27" s="307"/>
      <c r="O27" s="309"/>
      <c r="P27" s="311"/>
    </row>
    <row r="28" spans="1:16" ht="14.4">
      <c r="A28" s="250"/>
      <c r="B28" s="251" t="s">
        <v>712</v>
      </c>
      <c r="C28" s="238">
        <v>0</v>
      </c>
      <c r="D28" s="238">
        <v>0</v>
      </c>
      <c r="E28" s="239">
        <v>0</v>
      </c>
      <c r="F28" s="239">
        <v>0</v>
      </c>
      <c r="G28" s="239">
        <v>0</v>
      </c>
      <c r="H28" s="239">
        <v>0</v>
      </c>
      <c r="I28" s="239">
        <v>0</v>
      </c>
      <c r="L28" s="312"/>
      <c r="M28" s="313"/>
      <c r="N28" s="307"/>
      <c r="O28" s="309"/>
      <c r="P28" s="311"/>
    </row>
    <row r="29" spans="1:16">
      <c r="A29" s="250"/>
      <c r="B29" s="251" t="s">
        <v>280</v>
      </c>
      <c r="C29" s="236"/>
      <c r="D29" s="236">
        <f t="shared" ref="D29:I29" si="7">SUM(D26:D28)</f>
        <v>0</v>
      </c>
      <c r="E29" s="237">
        <f t="shared" si="7"/>
        <v>0</v>
      </c>
      <c r="F29" s="237">
        <f t="shared" si="7"/>
        <v>0</v>
      </c>
      <c r="G29" s="237">
        <f t="shared" si="7"/>
        <v>0</v>
      </c>
      <c r="H29" s="237">
        <f t="shared" si="7"/>
        <v>0</v>
      </c>
      <c r="I29" s="237">
        <f t="shared" si="7"/>
        <v>0</v>
      </c>
      <c r="L29" s="312"/>
      <c r="M29" s="313"/>
      <c r="N29" s="307"/>
      <c r="O29" s="309"/>
      <c r="P29" s="311"/>
    </row>
    <row r="30" spans="1:16">
      <c r="A30" s="250"/>
      <c r="B30" s="251"/>
      <c r="C30" s="251"/>
      <c r="D30" s="251"/>
      <c r="E30" s="254"/>
      <c r="F30" s="254"/>
      <c r="G30" s="254"/>
      <c r="H30" s="254"/>
      <c r="I30" s="254"/>
      <c r="L30" s="312"/>
      <c r="M30" s="313"/>
      <c r="N30" s="307"/>
      <c r="O30" s="309"/>
      <c r="P30" s="311"/>
    </row>
    <row r="31" spans="1:16">
      <c r="A31" s="250" t="s">
        <v>713</v>
      </c>
      <c r="B31" s="251" t="s">
        <v>710</v>
      </c>
      <c r="C31" s="255">
        <v>0</v>
      </c>
      <c r="D31" s="255">
        <f t="shared" ref="D31:I31" si="8">((C26*C$5)*1/12)+(D26*D$5)*11/12</f>
        <v>0</v>
      </c>
      <c r="E31" s="256">
        <f t="shared" si="8"/>
        <v>0</v>
      </c>
      <c r="F31" s="256">
        <f t="shared" si="8"/>
        <v>0</v>
      </c>
      <c r="G31" s="256">
        <f t="shared" si="8"/>
        <v>0</v>
      </c>
      <c r="H31" s="256">
        <f t="shared" si="8"/>
        <v>0</v>
      </c>
      <c r="I31" s="256">
        <f t="shared" si="8"/>
        <v>0</v>
      </c>
      <c r="L31" s="312"/>
      <c r="M31" s="313"/>
      <c r="N31" s="307"/>
      <c r="O31" s="309"/>
      <c r="P31" s="311"/>
    </row>
    <row r="32" spans="1:16">
      <c r="A32" s="250"/>
      <c r="B32" s="251" t="s">
        <v>711</v>
      </c>
      <c r="C32" s="255"/>
      <c r="D32" s="255">
        <f t="shared" ref="D32:I32" si="9">((C27*C$6)*2/12)+(D27*D$6)*10/12</f>
        <v>0</v>
      </c>
      <c r="E32" s="256">
        <f t="shared" si="9"/>
        <v>0</v>
      </c>
      <c r="F32" s="256">
        <f t="shared" si="9"/>
        <v>0</v>
      </c>
      <c r="G32" s="256">
        <f t="shared" si="9"/>
        <v>0</v>
      </c>
      <c r="H32" s="256">
        <f t="shared" si="9"/>
        <v>0</v>
      </c>
      <c r="I32" s="256">
        <f t="shared" si="9"/>
        <v>0</v>
      </c>
      <c r="L32" s="312"/>
      <c r="M32" s="313"/>
      <c r="N32" s="307"/>
      <c r="O32" s="309"/>
      <c r="P32" s="311"/>
    </row>
    <row r="33" spans="1:16" ht="14.4">
      <c r="A33" s="250"/>
      <c r="B33" s="251" t="s">
        <v>712</v>
      </c>
      <c r="C33" s="257">
        <v>0</v>
      </c>
      <c r="D33" s="257">
        <f t="shared" ref="D33:I33" si="10">((C28*C$7)*1/12)+(D28*D$7)*11/12</f>
        <v>0</v>
      </c>
      <c r="E33" s="258">
        <f t="shared" si="10"/>
        <v>0</v>
      </c>
      <c r="F33" s="258">
        <f t="shared" si="10"/>
        <v>0</v>
      </c>
      <c r="G33" s="258">
        <f t="shared" si="10"/>
        <v>0</v>
      </c>
      <c r="H33" s="258">
        <f t="shared" si="10"/>
        <v>0</v>
      </c>
      <c r="I33" s="258">
        <f t="shared" si="10"/>
        <v>0</v>
      </c>
      <c r="L33" s="312"/>
      <c r="M33" s="313"/>
      <c r="N33" s="307"/>
      <c r="O33" s="309"/>
      <c r="P33" s="311"/>
    </row>
    <row r="34" spans="1:16" ht="13.8" thickBot="1">
      <c r="A34" s="259"/>
      <c r="B34" s="619" t="s">
        <v>715</v>
      </c>
      <c r="C34" s="260"/>
      <c r="D34" s="260">
        <f t="shared" ref="D34:I34" si="11">SUM(D31:D33)</f>
        <v>0</v>
      </c>
      <c r="E34" s="261">
        <f t="shared" si="11"/>
        <v>0</v>
      </c>
      <c r="F34" s="261">
        <f t="shared" si="11"/>
        <v>0</v>
      </c>
      <c r="G34" s="261">
        <f t="shared" si="11"/>
        <v>0</v>
      </c>
      <c r="H34" s="261">
        <f t="shared" si="11"/>
        <v>0</v>
      </c>
      <c r="I34" s="261">
        <f t="shared" si="11"/>
        <v>0</v>
      </c>
      <c r="L34" s="312"/>
      <c r="M34" s="313"/>
      <c r="N34" s="307"/>
      <c r="O34" s="309"/>
      <c r="P34" s="311"/>
    </row>
    <row r="35" spans="1:16" ht="13.8" thickBot="1">
      <c r="L35" s="312"/>
      <c r="M35" s="313"/>
      <c r="N35" s="307"/>
      <c r="O35" s="309"/>
      <c r="P35" s="311"/>
    </row>
    <row r="36" spans="1:16" ht="18.600000000000001" thickBot="1">
      <c r="A36" s="620" t="s">
        <v>716</v>
      </c>
      <c r="B36" s="621"/>
      <c r="C36" s="262" t="s">
        <v>432</v>
      </c>
      <c r="D36" s="262" t="str">
        <f t="shared" ref="D36:I36" si="12">+D25</f>
        <v>FY21</v>
      </c>
      <c r="E36" s="263" t="str">
        <f t="shared" si="12"/>
        <v>FY22</v>
      </c>
      <c r="F36" s="263" t="str">
        <f t="shared" si="12"/>
        <v>FY23</v>
      </c>
      <c r="G36" s="263" t="str">
        <f t="shared" si="12"/>
        <v>FY24</v>
      </c>
      <c r="H36" s="263" t="str">
        <f t="shared" si="12"/>
        <v>FY25</v>
      </c>
      <c r="I36" s="263" t="str">
        <f t="shared" si="12"/>
        <v>FY26</v>
      </c>
      <c r="L36" s="312"/>
      <c r="M36" s="313"/>
      <c r="N36" s="307"/>
      <c r="O36" s="309"/>
      <c r="P36" s="311"/>
    </row>
    <row r="37" spans="1:16">
      <c r="A37" s="264" t="s">
        <v>425</v>
      </c>
      <c r="B37" s="622" t="s">
        <v>710</v>
      </c>
      <c r="C37" s="248">
        <v>0</v>
      </c>
      <c r="D37" s="248">
        <v>0</v>
      </c>
      <c r="E37" s="249">
        <v>0</v>
      </c>
      <c r="F37" s="249">
        <v>0</v>
      </c>
      <c r="G37" s="249">
        <v>0</v>
      </c>
      <c r="H37" s="249">
        <v>0</v>
      </c>
      <c r="I37" s="249">
        <v>0</v>
      </c>
      <c r="L37" s="312"/>
      <c r="M37" s="313"/>
      <c r="N37" s="307"/>
      <c r="O37" s="309"/>
      <c r="P37" s="311"/>
    </row>
    <row r="38" spans="1:16" ht="15">
      <c r="A38" s="265"/>
      <c r="B38" s="266" t="s">
        <v>711</v>
      </c>
      <c r="C38" s="252">
        <v>0</v>
      </c>
      <c r="D38" s="252">
        <v>0</v>
      </c>
      <c r="E38" s="253">
        <v>0</v>
      </c>
      <c r="F38" s="253">
        <v>0</v>
      </c>
      <c r="G38" s="253">
        <v>0</v>
      </c>
      <c r="H38" s="253">
        <v>0</v>
      </c>
      <c r="I38" s="253">
        <v>0</v>
      </c>
      <c r="L38" s="294">
        <f>SUM(L5:L37)</f>
        <v>0</v>
      </c>
      <c r="M38" s="293" t="s">
        <v>477</v>
      </c>
      <c r="N38" s="307">
        <f>SUM(N5:N37)</f>
        <v>0</v>
      </c>
      <c r="O38" s="309">
        <f>SUM(O5:O37)</f>
        <v>0</v>
      </c>
      <c r="P38" s="311">
        <f>SUM(P5:P37)</f>
        <v>0</v>
      </c>
    </row>
    <row r="39" spans="1:16" ht="14.4">
      <c r="A39" s="265"/>
      <c r="B39" s="266" t="s">
        <v>712</v>
      </c>
      <c r="C39" s="238">
        <v>0</v>
      </c>
      <c r="D39" s="238">
        <v>0</v>
      </c>
      <c r="E39" s="239">
        <v>0</v>
      </c>
      <c r="F39" s="239">
        <v>0</v>
      </c>
      <c r="G39" s="239">
        <v>0</v>
      </c>
      <c r="H39" s="239">
        <v>0</v>
      </c>
      <c r="I39" s="239">
        <v>0</v>
      </c>
    </row>
    <row r="40" spans="1:16">
      <c r="A40" s="265"/>
      <c r="B40" s="266" t="s">
        <v>280</v>
      </c>
      <c r="C40" s="236">
        <v>0</v>
      </c>
      <c r="D40" s="236">
        <f t="shared" ref="D40:I40" si="13">SUM(D37:D39)</f>
        <v>0</v>
      </c>
      <c r="E40" s="237">
        <f t="shared" si="13"/>
        <v>0</v>
      </c>
      <c r="F40" s="237">
        <f t="shared" si="13"/>
        <v>0</v>
      </c>
      <c r="G40" s="237">
        <f t="shared" si="13"/>
        <v>0</v>
      </c>
      <c r="H40" s="237">
        <f t="shared" si="13"/>
        <v>0</v>
      </c>
      <c r="I40" s="237">
        <f t="shared" si="13"/>
        <v>0</v>
      </c>
    </row>
    <row r="41" spans="1:16">
      <c r="A41" s="265"/>
      <c r="B41" s="266"/>
      <c r="C41" s="266"/>
      <c r="D41" s="266"/>
      <c r="E41" s="267"/>
      <c r="F41" s="267"/>
      <c r="G41" s="267"/>
      <c r="H41" s="267"/>
      <c r="I41" s="267"/>
    </row>
    <row r="42" spans="1:16">
      <c r="A42" s="265" t="s">
        <v>713</v>
      </c>
      <c r="B42" s="266" t="s">
        <v>710</v>
      </c>
      <c r="C42" s="255">
        <v>0</v>
      </c>
      <c r="D42" s="255">
        <f t="shared" ref="D42:I42" si="14">((C37*C$5)*1/12)+(D37*D$5)*11/12</f>
        <v>0</v>
      </c>
      <c r="E42" s="256">
        <f t="shared" si="14"/>
        <v>0</v>
      </c>
      <c r="F42" s="256">
        <f t="shared" si="14"/>
        <v>0</v>
      </c>
      <c r="G42" s="256">
        <f t="shared" si="14"/>
        <v>0</v>
      </c>
      <c r="H42" s="256">
        <f t="shared" si="14"/>
        <v>0</v>
      </c>
      <c r="I42" s="256">
        <f t="shared" si="14"/>
        <v>0</v>
      </c>
    </row>
    <row r="43" spans="1:16">
      <c r="A43" s="265"/>
      <c r="B43" s="266" t="s">
        <v>711</v>
      </c>
      <c r="C43" s="255">
        <v>0</v>
      </c>
      <c r="D43" s="255">
        <f t="shared" ref="D43:I43" si="15">((C38*C$6)*2/12)+(D38*D$6)*10/12</f>
        <v>0</v>
      </c>
      <c r="E43" s="256">
        <f t="shared" si="15"/>
        <v>0</v>
      </c>
      <c r="F43" s="256">
        <f t="shared" si="15"/>
        <v>0</v>
      </c>
      <c r="G43" s="256">
        <f t="shared" si="15"/>
        <v>0</v>
      </c>
      <c r="H43" s="256">
        <f t="shared" si="15"/>
        <v>0</v>
      </c>
      <c r="I43" s="256">
        <f t="shared" si="15"/>
        <v>0</v>
      </c>
    </row>
    <row r="44" spans="1:16" ht="14.4">
      <c r="A44" s="265"/>
      <c r="B44" s="266" t="s">
        <v>712</v>
      </c>
      <c r="C44" s="257">
        <v>0</v>
      </c>
      <c r="D44" s="257">
        <f t="shared" ref="D44:I44" si="16">((C39*C$7)*1/12)+(D39*D$7)*11/12</f>
        <v>0</v>
      </c>
      <c r="E44" s="258">
        <f t="shared" si="16"/>
        <v>0</v>
      </c>
      <c r="F44" s="258">
        <f t="shared" si="16"/>
        <v>0</v>
      </c>
      <c r="G44" s="258">
        <f t="shared" si="16"/>
        <v>0</v>
      </c>
      <c r="H44" s="258">
        <f t="shared" si="16"/>
        <v>0</v>
      </c>
      <c r="I44" s="258">
        <f t="shared" si="16"/>
        <v>0</v>
      </c>
    </row>
    <row r="45" spans="1:16" ht="13.8" thickBot="1">
      <c r="A45" s="268"/>
      <c r="B45" s="623" t="s">
        <v>715</v>
      </c>
      <c r="C45" s="269">
        <v>0</v>
      </c>
      <c r="D45" s="269">
        <f t="shared" ref="D45:I45" si="17">SUM(D42:D44)</f>
        <v>0</v>
      </c>
      <c r="E45" s="270">
        <f t="shared" si="17"/>
        <v>0</v>
      </c>
      <c r="F45" s="270">
        <f t="shared" si="17"/>
        <v>0</v>
      </c>
      <c r="G45" s="270">
        <f t="shared" si="17"/>
        <v>0</v>
      </c>
      <c r="H45" s="270">
        <f t="shared" si="17"/>
        <v>0</v>
      </c>
      <c r="I45" s="270">
        <f t="shared" si="17"/>
        <v>0</v>
      </c>
    </row>
    <row r="46" spans="1:16" ht="13.8" thickBot="1"/>
    <row r="47" spans="1:16" ht="18.600000000000001" thickBot="1">
      <c r="A47" s="624" t="s">
        <v>270</v>
      </c>
      <c r="B47" s="625"/>
      <c r="C47" s="271" t="s">
        <v>432</v>
      </c>
      <c r="D47" s="271" t="str">
        <f t="shared" ref="D47:I47" si="18">+D36</f>
        <v>FY21</v>
      </c>
      <c r="E47" s="272" t="str">
        <f t="shared" si="18"/>
        <v>FY22</v>
      </c>
      <c r="F47" s="272" t="str">
        <f t="shared" si="18"/>
        <v>FY23</v>
      </c>
      <c r="G47" s="272" t="str">
        <f t="shared" si="18"/>
        <v>FY24</v>
      </c>
      <c r="H47" s="272" t="str">
        <f t="shared" si="18"/>
        <v>FY25</v>
      </c>
      <c r="I47" s="272" t="str">
        <f t="shared" si="18"/>
        <v>FY26</v>
      </c>
    </row>
    <row r="48" spans="1:16">
      <c r="A48" s="273" t="s">
        <v>425</v>
      </c>
      <c r="B48" s="626" t="s">
        <v>710</v>
      </c>
      <c r="C48" s="627">
        <v>0</v>
      </c>
      <c r="D48" s="274">
        <v>0</v>
      </c>
      <c r="E48" s="274">
        <v>0</v>
      </c>
      <c r="F48" s="274">
        <v>0</v>
      </c>
      <c r="G48" s="274">
        <v>0</v>
      </c>
      <c r="H48" s="274">
        <v>0</v>
      </c>
      <c r="I48" s="274">
        <v>0</v>
      </c>
    </row>
    <row r="49" spans="1:9">
      <c r="A49" s="275"/>
      <c r="B49" s="276" t="s">
        <v>711</v>
      </c>
      <c r="C49" s="628">
        <v>0</v>
      </c>
      <c r="D49" s="277">
        <v>0</v>
      </c>
      <c r="E49" s="277">
        <v>0</v>
      </c>
      <c r="F49" s="277">
        <v>0</v>
      </c>
      <c r="G49" s="277">
        <v>0</v>
      </c>
      <c r="H49" s="277">
        <v>0</v>
      </c>
      <c r="I49" s="277">
        <v>0</v>
      </c>
    </row>
    <row r="50" spans="1:9" ht="14.4">
      <c r="A50" s="275"/>
      <c r="B50" s="276" t="s">
        <v>712</v>
      </c>
      <c r="C50" s="279">
        <v>0</v>
      </c>
      <c r="D50" s="279">
        <v>0</v>
      </c>
      <c r="E50" s="280">
        <v>0</v>
      </c>
      <c r="F50" s="280">
        <v>0</v>
      </c>
      <c r="G50" s="280">
        <v>0</v>
      </c>
      <c r="H50" s="280">
        <v>0</v>
      </c>
      <c r="I50" s="280">
        <v>0</v>
      </c>
    </row>
    <row r="51" spans="1:9">
      <c r="A51" s="275"/>
      <c r="B51" s="276" t="s">
        <v>280</v>
      </c>
      <c r="C51" s="277">
        <v>0</v>
      </c>
      <c r="D51" s="277">
        <f t="shared" ref="D51:I51" si="19">SUM(D48:D50)</f>
        <v>0</v>
      </c>
      <c r="E51" s="278">
        <f t="shared" si="19"/>
        <v>0</v>
      </c>
      <c r="F51" s="278">
        <f t="shared" si="19"/>
        <v>0</v>
      </c>
      <c r="G51" s="278">
        <f t="shared" si="19"/>
        <v>0</v>
      </c>
      <c r="H51" s="278">
        <f t="shared" si="19"/>
        <v>0</v>
      </c>
      <c r="I51" s="278">
        <f t="shared" si="19"/>
        <v>0</v>
      </c>
    </row>
    <row r="52" spans="1:9">
      <c r="A52" s="275"/>
      <c r="B52" s="276"/>
      <c r="C52" s="276"/>
      <c r="D52" s="276"/>
      <c r="E52" s="281"/>
      <c r="F52" s="281"/>
      <c r="G52" s="281"/>
      <c r="H52" s="281"/>
      <c r="I52" s="281"/>
    </row>
    <row r="53" spans="1:9">
      <c r="A53" s="275" t="s">
        <v>713</v>
      </c>
      <c r="B53" s="276" t="s">
        <v>710</v>
      </c>
      <c r="C53" s="282"/>
      <c r="D53" s="282">
        <f t="shared" ref="D53:I53" si="20">((C48*C$5)*1/12)+(D48*D$5)*11/12</f>
        <v>0</v>
      </c>
      <c r="E53" s="282">
        <f t="shared" si="20"/>
        <v>0</v>
      </c>
      <c r="F53" s="282">
        <f t="shared" si="20"/>
        <v>0</v>
      </c>
      <c r="G53" s="282">
        <f t="shared" si="20"/>
        <v>0</v>
      </c>
      <c r="H53" s="282">
        <f t="shared" si="20"/>
        <v>0</v>
      </c>
      <c r="I53" s="282">
        <f t="shared" si="20"/>
        <v>0</v>
      </c>
    </row>
    <row r="54" spans="1:9">
      <c r="A54" s="275"/>
      <c r="B54" s="276" t="s">
        <v>711</v>
      </c>
      <c r="C54" s="282"/>
      <c r="D54" s="282">
        <f t="shared" ref="D54:I54" si="21">((C49*C$6)*2/12)+(D49*D$6)*10/12</f>
        <v>0</v>
      </c>
      <c r="E54" s="282">
        <f t="shared" si="21"/>
        <v>0</v>
      </c>
      <c r="F54" s="282">
        <f t="shared" si="21"/>
        <v>0</v>
      </c>
      <c r="G54" s="282">
        <f t="shared" si="21"/>
        <v>0</v>
      </c>
      <c r="H54" s="282">
        <f t="shared" si="21"/>
        <v>0</v>
      </c>
      <c r="I54" s="282">
        <f t="shared" si="21"/>
        <v>0</v>
      </c>
    </row>
    <row r="55" spans="1:9" ht="14.4">
      <c r="A55" s="275"/>
      <c r="B55" s="276" t="s">
        <v>712</v>
      </c>
      <c r="C55" s="283"/>
      <c r="D55" s="283">
        <f t="shared" ref="D55:I55" si="22">((C50*C$7)*1/12)+(D50*D$7)*11/12</f>
        <v>0</v>
      </c>
      <c r="E55" s="283">
        <f t="shared" si="22"/>
        <v>0</v>
      </c>
      <c r="F55" s="283">
        <f t="shared" si="22"/>
        <v>0</v>
      </c>
      <c r="G55" s="283">
        <f t="shared" si="22"/>
        <v>0</v>
      </c>
      <c r="H55" s="283">
        <f t="shared" si="22"/>
        <v>0</v>
      </c>
      <c r="I55" s="283">
        <f t="shared" si="22"/>
        <v>0</v>
      </c>
    </row>
    <row r="56" spans="1:9" ht="13.8" thickBot="1">
      <c r="A56" s="284"/>
      <c r="B56" s="629" t="s">
        <v>715</v>
      </c>
      <c r="C56" s="285"/>
      <c r="D56" s="285">
        <f t="shared" ref="D56:I56" si="23">SUM(D53:D55)</f>
        <v>0</v>
      </c>
      <c r="E56" s="286">
        <f t="shared" si="23"/>
        <v>0</v>
      </c>
      <c r="F56" s="286">
        <f t="shared" si="23"/>
        <v>0</v>
      </c>
      <c r="G56" s="286">
        <f t="shared" si="23"/>
        <v>0</v>
      </c>
      <c r="H56" s="286">
        <f t="shared" si="23"/>
        <v>0</v>
      </c>
      <c r="I56" s="286">
        <f t="shared" si="23"/>
        <v>0</v>
      </c>
    </row>
    <row r="57" spans="1:9" ht="13.8" thickBot="1"/>
    <row r="58" spans="1:9" ht="16.2" thickBot="1">
      <c r="A58" s="287" t="s">
        <v>427</v>
      </c>
      <c r="B58" s="288"/>
      <c r="C58" s="290"/>
      <c r="D58" s="290">
        <f t="shared" ref="D58:I58" si="24">+D56+D45+D34+D23</f>
        <v>0</v>
      </c>
      <c r="E58" s="290">
        <f t="shared" si="24"/>
        <v>0</v>
      </c>
      <c r="F58" s="290">
        <f t="shared" si="24"/>
        <v>0</v>
      </c>
      <c r="G58" s="290">
        <f t="shared" si="24"/>
        <v>0</v>
      </c>
      <c r="H58" s="290">
        <f t="shared" si="24"/>
        <v>0</v>
      </c>
      <c r="I58" s="290">
        <f t="shared" si="24"/>
        <v>0</v>
      </c>
    </row>
    <row r="59" spans="1:9" ht="13.8" thickBot="1">
      <c r="A59" s="151" t="s">
        <v>727</v>
      </c>
    </row>
    <row r="60" spans="1:9" ht="16.2" thickBot="1">
      <c r="A60" s="151" t="s">
        <v>728</v>
      </c>
      <c r="C60" s="289"/>
      <c r="D60" s="289">
        <f>+D58*'Note Calc'!E278</f>
        <v>0</v>
      </c>
      <c r="E60" s="289">
        <f>+E58*'Note Calc'!K278</f>
        <v>0</v>
      </c>
      <c r="F60" s="289">
        <f>+F58*'Note Calc'!M261</f>
        <v>0</v>
      </c>
      <c r="G60" s="289">
        <f>+G58*'Note Calc'!M280</f>
        <v>0</v>
      </c>
      <c r="H60" s="289">
        <f>+H58*'Note Calc'!N278</f>
        <v>0</v>
      </c>
      <c r="I60" s="289">
        <f>+I58*'Note Calc'!O278</f>
        <v>0</v>
      </c>
    </row>
    <row r="61" spans="1:9" ht="16.2" thickBot="1">
      <c r="A61" s="298" t="s">
        <v>280</v>
      </c>
      <c r="C61" s="289"/>
      <c r="D61" s="289">
        <f t="shared" ref="D61:I61" si="25">+D58+D60</f>
        <v>0</v>
      </c>
      <c r="E61" s="289">
        <f t="shared" si="25"/>
        <v>0</v>
      </c>
      <c r="F61" s="289">
        <f t="shared" si="25"/>
        <v>0</v>
      </c>
      <c r="G61" s="289">
        <f t="shared" si="25"/>
        <v>0</v>
      </c>
      <c r="H61" s="289">
        <f t="shared" si="25"/>
        <v>0</v>
      </c>
      <c r="I61" s="289">
        <f t="shared" si="25"/>
        <v>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7" tint="0.39997558519241921"/>
  </sheetPr>
  <dimension ref="A1:P445"/>
  <sheetViews>
    <sheetView topLeftCell="A61" workbookViewId="0">
      <selection activeCell="K90" sqref="K90"/>
    </sheetView>
  </sheetViews>
  <sheetFormatPr defaultColWidth="11.44140625" defaultRowHeight="13.2"/>
  <cols>
    <col min="1" max="1" width="3.109375" customWidth="1"/>
    <col min="2" max="2" width="18.109375" customWidth="1"/>
    <col min="3" max="3" width="14.109375" style="44" customWidth="1"/>
    <col min="4" max="7" width="14.109375" style="151" customWidth="1"/>
    <col min="8" max="11" width="14.109375" customWidth="1"/>
    <col min="12" max="12" width="14.44140625" bestFit="1" customWidth="1"/>
    <col min="13" max="13" width="13" bestFit="1" customWidth="1"/>
    <col min="14" max="15" width="12.6640625" bestFit="1" customWidth="1"/>
    <col min="16" max="16" width="12.44140625" bestFit="1" customWidth="1"/>
  </cols>
  <sheetData>
    <row r="1" spans="2:16" ht="14.4">
      <c r="B1" s="121" t="s">
        <v>273</v>
      </c>
      <c r="P1" s="68" t="s">
        <v>438</v>
      </c>
    </row>
    <row r="3" spans="2:16">
      <c r="C3" s="46" t="str">
        <f>"Act "&amp;RIGHT(Forecast!D9,2)</f>
        <v>Act 19</v>
      </c>
      <c r="D3" s="46" t="str">
        <f>"Act "&amp;RIGHT(Forecast!E9,2)</f>
        <v>Act 20</v>
      </c>
      <c r="E3" s="46" t="str">
        <f>"Act "&amp;RIGHT(Forecast!F9,2)</f>
        <v>Act 21</v>
      </c>
      <c r="F3" s="46" t="str">
        <f>"Est "&amp;RIGHT(Forecast!H9,2)</f>
        <v>Est 22</v>
      </c>
      <c r="G3" s="46" t="str">
        <f>"Est "&amp;RIGHT(Forecast!I9,2)</f>
        <v>Est 23</v>
      </c>
      <c r="H3" s="46" t="str">
        <f>"Est "&amp;RIGHT(Forecast!J9,2)</f>
        <v>Est 24</v>
      </c>
      <c r="I3" s="46" t="str">
        <f>"Est "&amp;RIGHT(Forecast!K9,2)</f>
        <v>Est 25</v>
      </c>
      <c r="J3" s="46" t="str">
        <f>"Est "&amp;RIGHT(Forecast!L9,2)</f>
        <v>Est 26</v>
      </c>
      <c r="K3" s="46"/>
    </row>
    <row r="4" spans="2:16">
      <c r="B4" t="s">
        <v>272</v>
      </c>
      <c r="C4" s="122">
        <f>+Forecast!D29</f>
        <v>35126637</v>
      </c>
      <c r="D4" s="122">
        <f>+Forecast!E29</f>
        <v>34924401</v>
      </c>
      <c r="E4" s="122">
        <f>+Forecast!F29</f>
        <v>36293602</v>
      </c>
      <c r="F4" s="122">
        <f>+Forecast!H29</f>
        <v>32857680</v>
      </c>
      <c r="G4" s="122">
        <f>+Forecast!I29</f>
        <v>33125772</v>
      </c>
      <c r="H4" s="122">
        <f>+Forecast!J29</f>
        <v>32314991</v>
      </c>
      <c r="I4" s="122">
        <f>+Forecast!K29</f>
        <v>32244150</v>
      </c>
      <c r="J4" s="122">
        <f>+Forecast!L29</f>
        <v>32376642</v>
      </c>
      <c r="K4" s="122"/>
    </row>
    <row r="5" spans="2:16">
      <c r="B5" t="s">
        <v>10</v>
      </c>
      <c r="C5" s="122">
        <f>+Forecast!D54</f>
        <v>34481272</v>
      </c>
      <c r="D5" s="122">
        <f>+Forecast!E54</f>
        <v>35425248</v>
      </c>
      <c r="E5" s="122">
        <f>+Forecast!F54</f>
        <v>36290552</v>
      </c>
      <c r="F5" s="122">
        <f>+Forecast!H54</f>
        <v>33972065</v>
      </c>
      <c r="G5" s="122">
        <f>+Forecast!I54</f>
        <v>35239672</v>
      </c>
      <c r="H5" s="122">
        <f>+Forecast!J54</f>
        <v>36331441</v>
      </c>
      <c r="I5" s="122">
        <f>+Forecast!K54</f>
        <v>37029864</v>
      </c>
      <c r="J5" s="122">
        <f>+Forecast!L54</f>
        <v>37829095</v>
      </c>
      <c r="K5" s="122"/>
    </row>
    <row r="6" spans="2:16">
      <c r="B6" t="s">
        <v>176</v>
      </c>
      <c r="C6" s="122">
        <f>+Forecast!D59</f>
        <v>7030148</v>
      </c>
      <c r="D6" s="122">
        <f>+Forecast!E59</f>
        <v>6529301</v>
      </c>
      <c r="E6" s="122">
        <f>+Forecast!F59</f>
        <v>6532351</v>
      </c>
      <c r="F6" s="122">
        <f>+Forecast!H59</f>
        <v>5417966</v>
      </c>
      <c r="G6" s="122">
        <f>+Forecast!I59</f>
        <v>3304066</v>
      </c>
      <c r="H6" s="122">
        <f>+Forecast!J59</f>
        <v>-712384</v>
      </c>
      <c r="I6" s="122">
        <f>+Forecast!K59</f>
        <v>-5498098</v>
      </c>
      <c r="J6" s="122">
        <f>+Forecast!L59</f>
        <v>-10950551</v>
      </c>
      <c r="K6" s="122"/>
    </row>
    <row r="17" spans="10:10">
      <c r="J17" t="s">
        <v>250</v>
      </c>
    </row>
    <row r="35" spans="2:11">
      <c r="B35" t="s">
        <v>275</v>
      </c>
    </row>
    <row r="37" spans="2:11">
      <c r="C37" s="123" t="str">
        <f t="shared" ref="C37:J37" si="0">+C3</f>
        <v>Act 19</v>
      </c>
      <c r="D37" s="123" t="str">
        <f t="shared" si="0"/>
        <v>Act 20</v>
      </c>
      <c r="E37" s="123" t="str">
        <f>+E3</f>
        <v>Act 21</v>
      </c>
      <c r="F37" s="123" t="str">
        <f t="shared" si="0"/>
        <v>Est 22</v>
      </c>
      <c r="G37" s="123" t="str">
        <f>+G3</f>
        <v>Est 23</v>
      </c>
      <c r="H37" s="123" t="str">
        <f t="shared" si="0"/>
        <v>Est 24</v>
      </c>
      <c r="I37" s="123" t="str">
        <f t="shared" si="0"/>
        <v>Est 25</v>
      </c>
      <c r="J37" s="123" t="str">
        <f t="shared" si="0"/>
        <v>Est 26</v>
      </c>
      <c r="K37" s="151"/>
    </row>
    <row r="38" spans="2:11">
      <c r="B38" t="s">
        <v>60</v>
      </c>
      <c r="C38" s="122">
        <f>+Forecast!D47/12</f>
        <v>2870249</v>
      </c>
      <c r="D38" s="122">
        <f>+Forecast!E47/12</f>
        <v>2949187.3333333335</v>
      </c>
      <c r="E38" s="122">
        <f>+Forecast!F47/12</f>
        <v>3012719.75</v>
      </c>
      <c r="F38" s="122">
        <f>+Forecast!H47/12</f>
        <v>2828088.75</v>
      </c>
      <c r="G38" s="122">
        <f>+Forecast!I47/12</f>
        <v>2933722.6666666665</v>
      </c>
      <c r="H38" s="122">
        <f>+Forecast!J47/12</f>
        <v>3024703.4166666665</v>
      </c>
      <c r="I38" s="122">
        <f>+Forecast!K47/12</f>
        <v>3082905.3333333335</v>
      </c>
      <c r="J38" s="122">
        <f>+Forecast!L47/12</f>
        <v>3149507.9166666665</v>
      </c>
      <c r="K38" s="151"/>
    </row>
    <row r="39" spans="2:11">
      <c r="B39" t="s">
        <v>257</v>
      </c>
      <c r="C39" s="122">
        <f>+Forecast!D59</f>
        <v>7030148</v>
      </c>
      <c r="D39" s="122">
        <f>+Forecast!E59</f>
        <v>6529301</v>
      </c>
      <c r="E39" s="122">
        <f>+Forecast!F59</f>
        <v>6532351</v>
      </c>
      <c r="F39" s="122">
        <f>+Forecast!H59</f>
        <v>5417966</v>
      </c>
      <c r="G39" s="122">
        <f>+Forecast!I59</f>
        <v>3304066</v>
      </c>
      <c r="H39" s="122">
        <f>+Forecast!J59</f>
        <v>-712384</v>
      </c>
      <c r="I39" s="122">
        <f>+Forecast!K59</f>
        <v>-5498098</v>
      </c>
      <c r="J39" s="122">
        <f>+Forecast!L59</f>
        <v>-10950551</v>
      </c>
      <c r="K39" s="122"/>
    </row>
    <row r="40" spans="2:11" s="151" customFormat="1">
      <c r="B40" s="151" t="s">
        <v>276</v>
      </c>
      <c r="C40" s="122">
        <f>+Forecast!D73</f>
        <v>7030148</v>
      </c>
      <c r="D40" s="122">
        <f>+Forecast!E73</f>
        <v>6529301</v>
      </c>
      <c r="E40" s="122">
        <f>+Forecast!F73</f>
        <v>6532351</v>
      </c>
      <c r="F40" s="122">
        <f>+Forecast!H73</f>
        <v>5417966</v>
      </c>
      <c r="G40" s="122">
        <f>+Forecast!I73</f>
        <v>3304066</v>
      </c>
      <c r="H40" s="122">
        <f>+Forecast!J73</f>
        <v>-712384</v>
      </c>
      <c r="I40" s="122">
        <f>+Forecast!K73</f>
        <v>-5498098</v>
      </c>
      <c r="J40" s="122">
        <f>+Forecast!L73</f>
        <v>-10950551</v>
      </c>
      <c r="K40" s="122"/>
    </row>
    <row r="41" spans="2:11">
      <c r="B41" s="151" t="s">
        <v>809</v>
      </c>
      <c r="C41" s="122">
        <f>+Forecast!D47/6</f>
        <v>5740498</v>
      </c>
      <c r="D41" s="122">
        <f>+Forecast!E47/6</f>
        <v>5898374.666666667</v>
      </c>
      <c r="E41" s="122">
        <f>+Forecast!F47/6</f>
        <v>6025439.5</v>
      </c>
      <c r="F41" s="122">
        <f>+Forecast!H47/6</f>
        <v>5656177.5</v>
      </c>
      <c r="G41" s="122">
        <f>+Forecast!I47/6</f>
        <v>5867445.333333333</v>
      </c>
      <c r="H41" s="122">
        <f>+Forecast!J47/6</f>
        <v>6049406.833333333</v>
      </c>
      <c r="I41" s="122">
        <f>+Forecast!K47/6</f>
        <v>6165810.666666667</v>
      </c>
      <c r="J41" s="122">
        <f>+Forecast!L47/6</f>
        <v>6299015.833333333</v>
      </c>
      <c r="K41" s="122"/>
    </row>
    <row r="42" spans="2:11">
      <c r="I42" s="151"/>
    </row>
    <row r="70" spans="2:10" s="151" customFormat="1"/>
    <row r="71" spans="2:10" s="151" customFormat="1" ht="13.8">
      <c r="B71" s="68" t="s">
        <v>805</v>
      </c>
    </row>
    <row r="72" spans="2:10" s="151" customFormat="1">
      <c r="B72" s="467"/>
      <c r="C72" s="468" t="str">
        <f>+C3</f>
        <v>Act 19</v>
      </c>
      <c r="D72" s="468" t="str">
        <f t="shared" ref="D72:J72" si="1">+D3</f>
        <v>Act 20</v>
      </c>
      <c r="E72" s="468" t="str">
        <f t="shared" si="1"/>
        <v>Act 21</v>
      </c>
      <c r="F72" s="468" t="str">
        <f t="shared" si="1"/>
        <v>Est 22</v>
      </c>
      <c r="G72" s="468" t="str">
        <f t="shared" si="1"/>
        <v>Est 23</v>
      </c>
      <c r="H72" s="468" t="str">
        <f t="shared" si="1"/>
        <v>Est 24</v>
      </c>
      <c r="I72" s="468" t="str">
        <f t="shared" si="1"/>
        <v>Est 25</v>
      </c>
      <c r="J72" s="469" t="str">
        <f t="shared" si="1"/>
        <v>Est 26</v>
      </c>
    </row>
    <row r="73" spans="2:10" s="151" customFormat="1" ht="13.8">
      <c r="B73" s="470" t="s">
        <v>806</v>
      </c>
      <c r="C73" s="471">
        <f t="shared" ref="C73:J73" si="2">+C75/(C74/365)</f>
        <v>74.417324859709353</v>
      </c>
      <c r="D73" s="471">
        <f t="shared" si="2"/>
        <v>67.273907722537331</v>
      </c>
      <c r="E73" s="471">
        <f t="shared" si="2"/>
        <v>65.700519380361044</v>
      </c>
      <c r="F73" s="471">
        <f t="shared" si="2"/>
        <v>58.211285949205617</v>
      </c>
      <c r="G73" s="471">
        <f t="shared" si="2"/>
        <v>34.222341513280824</v>
      </c>
      <c r="H73" s="471">
        <f t="shared" si="2"/>
        <v>-7.156890914401111</v>
      </c>
      <c r="I73" s="471">
        <f t="shared" si="2"/>
        <v>-54.194251699115071</v>
      </c>
      <c r="J73" s="472">
        <f t="shared" si="2"/>
        <v>-105.65812148030504</v>
      </c>
    </row>
    <row r="74" spans="2:10" s="151" customFormat="1" ht="13.8">
      <c r="B74" s="470" t="s">
        <v>807</v>
      </c>
      <c r="C74" s="473">
        <f t="shared" ref="C74:J74" si="3">+C5</f>
        <v>34481272</v>
      </c>
      <c r="D74" s="473">
        <f t="shared" si="3"/>
        <v>35425248</v>
      </c>
      <c r="E74" s="473">
        <f t="shared" si="3"/>
        <v>36290552</v>
      </c>
      <c r="F74" s="473">
        <f t="shared" si="3"/>
        <v>33972065</v>
      </c>
      <c r="G74" s="473">
        <f t="shared" si="3"/>
        <v>35239672</v>
      </c>
      <c r="H74" s="473">
        <f t="shared" si="3"/>
        <v>36331441</v>
      </c>
      <c r="I74" s="473">
        <f t="shared" si="3"/>
        <v>37029864</v>
      </c>
      <c r="J74" s="474">
        <f t="shared" si="3"/>
        <v>37829095</v>
      </c>
    </row>
    <row r="75" spans="2:10" s="151" customFormat="1" ht="13.8">
      <c r="B75" s="475" t="s">
        <v>808</v>
      </c>
      <c r="C75" s="476">
        <f>+C40</f>
        <v>7030148</v>
      </c>
      <c r="D75" s="476">
        <f t="shared" ref="D75:J75" si="4">+D40</f>
        <v>6529301</v>
      </c>
      <c r="E75" s="476">
        <f t="shared" si="4"/>
        <v>6532351</v>
      </c>
      <c r="F75" s="476">
        <f t="shared" si="4"/>
        <v>5417966</v>
      </c>
      <c r="G75" s="476">
        <f t="shared" si="4"/>
        <v>3304066</v>
      </c>
      <c r="H75" s="476">
        <f t="shared" si="4"/>
        <v>-712384</v>
      </c>
      <c r="I75" s="476">
        <f t="shared" si="4"/>
        <v>-5498098</v>
      </c>
      <c r="J75" s="476">
        <f t="shared" si="4"/>
        <v>-10950551</v>
      </c>
    </row>
    <row r="76" spans="2:10" s="151" customFormat="1"/>
    <row r="77" spans="2:10" s="151" customFormat="1"/>
    <row r="78" spans="2:10" s="151" customFormat="1"/>
    <row r="79" spans="2:10" s="151" customFormat="1"/>
    <row r="80" spans="2:10" s="151" customFormat="1"/>
    <row r="81" s="151" customFormat="1"/>
    <row r="82" s="151" customFormat="1"/>
    <row r="83" s="151" customFormat="1"/>
    <row r="84" s="151" customFormat="1"/>
    <row r="85" s="151" customFormat="1"/>
    <row r="86" s="151" customFormat="1"/>
    <row r="87" s="151" customFormat="1"/>
    <row r="88" s="151" customFormat="1"/>
    <row r="89" s="151" customFormat="1"/>
    <row r="90" s="151" customFormat="1"/>
    <row r="91" s="151" customFormat="1"/>
    <row r="92" s="151" customFormat="1"/>
    <row r="93" s="151" customFormat="1"/>
    <row r="94" s="151" customFormat="1"/>
    <row r="95" s="151" customFormat="1"/>
    <row r="97" spans="2:10">
      <c r="B97" t="s">
        <v>277</v>
      </c>
    </row>
    <row r="99" spans="2:10">
      <c r="C99" s="45" t="str">
        <f t="shared" ref="C99:J99" si="5">+C3</f>
        <v>Act 19</v>
      </c>
      <c r="D99" s="45" t="str">
        <f t="shared" si="5"/>
        <v>Act 20</v>
      </c>
      <c r="E99" s="45" t="str">
        <f>+E3</f>
        <v>Act 21</v>
      </c>
      <c r="F99" s="45" t="str">
        <f t="shared" si="5"/>
        <v>Est 22</v>
      </c>
      <c r="G99" s="45" t="str">
        <f>+G3</f>
        <v>Est 23</v>
      </c>
      <c r="H99" s="45" t="str">
        <f t="shared" si="5"/>
        <v>Est 24</v>
      </c>
      <c r="I99" s="45" t="str">
        <f t="shared" si="5"/>
        <v>Est 25</v>
      </c>
      <c r="J99" s="45" t="str">
        <f t="shared" si="5"/>
        <v>Est 26</v>
      </c>
    </row>
    <row r="100" spans="2:10">
      <c r="B100" t="s">
        <v>258</v>
      </c>
      <c r="C100" s="122">
        <f>+Forecast!D12+Forecast!D13+Forecast!D14+Forecast!D19</f>
        <v>12299069</v>
      </c>
      <c r="D100" s="122">
        <f>+Forecast!E12+Forecast!E13+Forecast!E14+Forecast!E19</f>
        <v>12964349</v>
      </c>
      <c r="E100" s="122">
        <f>+Forecast!F12+Forecast!F13+Forecast!F14+Forecast!F19</f>
        <v>13657096</v>
      </c>
      <c r="F100" s="122">
        <f>+Forecast!H12+Forecast!H13+Forecast!H14+Forecast!H19</f>
        <v>12761640</v>
      </c>
      <c r="G100" s="122">
        <f>+Forecast!I12+Forecast!I13+Forecast!I14+Forecast!I19</f>
        <v>12544720</v>
      </c>
      <c r="H100" s="122">
        <f>+Forecast!J12+Forecast!J13+Forecast!J14+Forecast!J19</f>
        <v>12047424</v>
      </c>
      <c r="I100" s="122">
        <f>+Forecast!K12+Forecast!K13+Forecast!K14+Forecast!K19</f>
        <v>12215702</v>
      </c>
      <c r="J100" s="122">
        <f>+Forecast!L12+Forecast!L13+Forecast!L14+Forecast!L19</f>
        <v>12391454</v>
      </c>
    </row>
    <row r="101" spans="2:10">
      <c r="B101" t="s">
        <v>259</v>
      </c>
      <c r="C101" s="122">
        <f>+Forecast!D15+Forecast!D16+Forecast!D17+Forecast!D18</f>
        <v>22517267</v>
      </c>
      <c r="D101" s="122">
        <f>+Forecast!E15+Forecast!E16+Forecast!E17+Forecast!E18</f>
        <v>21727728</v>
      </c>
      <c r="E101" s="122">
        <f>+Forecast!F15+Forecast!F16+Forecast!F17+Forecast!F18</f>
        <v>21747855</v>
      </c>
      <c r="F101" s="122">
        <f>+Forecast!H15+Forecast!H16+Forecast!H17+Forecast!H18</f>
        <v>19691959</v>
      </c>
      <c r="G101" s="122">
        <f>+Forecast!I15+Forecast!I16+Forecast!I17+Forecast!I18</f>
        <v>20279886</v>
      </c>
      <c r="H101" s="122">
        <f>+Forecast!J15+Forecast!J16+Forecast!J17+Forecast!J18</f>
        <v>19966401</v>
      </c>
      <c r="I101" s="122">
        <f>+Forecast!K15+Forecast!K16+Forecast!K17+Forecast!K18</f>
        <v>19727282</v>
      </c>
      <c r="J101" s="122">
        <f>+Forecast!L15+Forecast!L16+Forecast!L17+Forecast!L18</f>
        <v>19684022</v>
      </c>
    </row>
    <row r="102" spans="2:10">
      <c r="B102" t="s">
        <v>280</v>
      </c>
      <c r="C102" s="122">
        <f t="shared" ref="C102:J102" si="6">+C100+C101</f>
        <v>34816336</v>
      </c>
      <c r="D102" s="122">
        <f t="shared" si="6"/>
        <v>34692077</v>
      </c>
      <c r="E102" s="122">
        <f t="shared" si="6"/>
        <v>35404951</v>
      </c>
      <c r="F102" s="122">
        <f t="shared" si="6"/>
        <v>32453599</v>
      </c>
      <c r="G102" s="122">
        <f t="shared" si="6"/>
        <v>32824606</v>
      </c>
      <c r="H102" s="122">
        <f t="shared" si="6"/>
        <v>32013825</v>
      </c>
      <c r="I102" s="122">
        <f t="shared" si="6"/>
        <v>31942984</v>
      </c>
      <c r="J102" s="122">
        <f t="shared" si="6"/>
        <v>32075476</v>
      </c>
    </row>
    <row r="108" spans="2:10">
      <c r="I108" s="134"/>
    </row>
    <row r="130" spans="2:12">
      <c r="B130" t="s">
        <v>23</v>
      </c>
    </row>
    <row r="131" spans="2:12">
      <c r="C131" s="151"/>
      <c r="F131" s="45"/>
      <c r="G131" s="45" t="str">
        <f>+E3</f>
        <v>Act 21</v>
      </c>
      <c r="H131" s="45" t="str">
        <f>+F3</f>
        <v>Est 22</v>
      </c>
      <c r="I131" s="45"/>
    </row>
    <row r="132" spans="2:12">
      <c r="B132" t="s">
        <v>4</v>
      </c>
      <c r="C132" s="151"/>
      <c r="F132" s="122"/>
      <c r="G132" s="122">
        <f>+Forecast!F12++Forecast!F13</f>
        <v>11519571</v>
      </c>
      <c r="H132" s="122">
        <f>+Forecast!H12++Forecast!H13</f>
        <v>11555835</v>
      </c>
      <c r="I132" s="122"/>
      <c r="L132" s="176">
        <f>+Graph4/H138</f>
        <v>0.35607252680973844</v>
      </c>
    </row>
    <row r="133" spans="2:12">
      <c r="B133" t="s">
        <v>95</v>
      </c>
      <c r="C133" s="151"/>
      <c r="F133" s="124"/>
      <c r="G133" s="124">
        <f>+Forecast!F14</f>
        <v>0</v>
      </c>
      <c r="H133" s="124">
        <f>+Forecast!H14</f>
        <v>0</v>
      </c>
      <c r="I133" s="124"/>
    </row>
    <row r="134" spans="2:12">
      <c r="B134" t="s">
        <v>306</v>
      </c>
      <c r="C134" s="151"/>
      <c r="D134" s="133" t="str">
        <f>"Local Sources "&amp;TEXT(F134,"##.#%")</f>
        <v>Local Sources 38.6%</v>
      </c>
      <c r="F134" s="133">
        <f>(+G132+G133+G134)/G138</f>
        <v>0.3857397232381426</v>
      </c>
      <c r="G134" s="124">
        <f>+Forecast!F19</f>
        <v>2137525</v>
      </c>
      <c r="H134" s="124">
        <f>+Forecast!H19</f>
        <v>1205805</v>
      </c>
      <c r="I134" s="133">
        <f>(Graph4+H133+H134)/+H138</f>
        <v>0.39322726579569806</v>
      </c>
      <c r="J134" s="151" t="str">
        <f>"Local Sources "&amp;TEXT(I134,"##.#%")</f>
        <v>Local Sources 39.3%</v>
      </c>
    </row>
    <row r="135" spans="2:12">
      <c r="B135" t="s">
        <v>5</v>
      </c>
      <c r="C135" s="151"/>
      <c r="G135" s="124">
        <f>+Forecast!F15+Forecast!F16+Forecast!F17</f>
        <v>19505987</v>
      </c>
      <c r="H135" s="124">
        <f>+Forecast!H15+Forecast!H16+Forecast!H17</f>
        <v>17679875</v>
      </c>
      <c r="I135" s="124"/>
    </row>
    <row r="136" spans="2:12" ht="15">
      <c r="B136" t="s">
        <v>6</v>
      </c>
      <c r="C136" s="151"/>
      <c r="D136" s="151" t="str">
        <f>"State Sources "&amp;TEXT(F136,"##.#%")</f>
        <v>State Sources 61.4%</v>
      </c>
      <c r="F136" s="133">
        <f>(G135+G136)/G138</f>
        <v>0.61426027676185735</v>
      </c>
      <c r="G136" s="125">
        <f>Forecast!F18</f>
        <v>2241868</v>
      </c>
      <c r="H136" s="125">
        <f>Forecast!H18</f>
        <v>2012084</v>
      </c>
      <c r="I136" s="133">
        <f>(H135+H136)/H138</f>
        <v>0.606772734204302</v>
      </c>
      <c r="J136" s="151" t="str">
        <f>"State Sources "&amp;TEXT(I136,"##.#%")</f>
        <v>State Sources 60.7%</v>
      </c>
    </row>
    <row r="137" spans="2:12">
      <c r="C137" s="151"/>
      <c r="F137" s="122"/>
      <c r="G137" s="122"/>
      <c r="H137" s="122"/>
      <c r="I137" s="122"/>
      <c r="J137" s="124"/>
    </row>
    <row r="138" spans="2:12">
      <c r="B138" t="s">
        <v>280</v>
      </c>
      <c r="C138" s="151"/>
      <c r="F138" s="122">
        <f>SUM(F132:F136)</f>
        <v>1</v>
      </c>
      <c r="G138" s="122">
        <f>SUM(G132:G136)</f>
        <v>35404951</v>
      </c>
      <c r="H138" s="122">
        <f>SUM(H132:H136)</f>
        <v>32453599</v>
      </c>
      <c r="I138" s="122"/>
    </row>
    <row r="139" spans="2:12">
      <c r="C139" s="151"/>
      <c r="F139"/>
      <c r="H139" s="44"/>
      <c r="I139" s="151"/>
      <c r="J139" s="151"/>
      <c r="K139" s="134"/>
    </row>
    <row r="166" spans="2:12">
      <c r="B166" s="151" t="s">
        <v>250</v>
      </c>
    </row>
    <row r="167" spans="2:12">
      <c r="H167" s="151"/>
      <c r="I167" s="151" t="s">
        <v>250</v>
      </c>
      <c r="J167" s="151" t="s">
        <v>250</v>
      </c>
      <c r="K167" s="151" t="s">
        <v>250</v>
      </c>
      <c r="L167" s="151" t="s">
        <v>250</v>
      </c>
    </row>
    <row r="168" spans="2:12">
      <c r="B168" t="str">
        <f>"General Fund Estimated Revenues FY"&amp;RIGHT(E99,2)&amp;" "&amp;TEXT(G138,"$ ##,###")</f>
        <v>General Fund Estimated Revenues FY21 $ 35,404,951</v>
      </c>
    </row>
    <row r="169" spans="2:12">
      <c r="B169" s="151" t="str">
        <f>"General Fund Estimated Revenues FY"&amp;RIGHT(F99,2)&amp;" "&amp;TEXT(H138,"$ ##,###")</f>
        <v>General Fund Estimated Revenues FY22 $ 32,453,599</v>
      </c>
      <c r="H169" s="151"/>
    </row>
    <row r="170" spans="2:12">
      <c r="C170" s="151"/>
      <c r="H170" s="151"/>
    </row>
    <row r="172" spans="2:12">
      <c r="B172" t="s">
        <v>6</v>
      </c>
    </row>
    <row r="173" spans="2:12" ht="6" customHeight="1"/>
    <row r="174" spans="2:12">
      <c r="B174" t="s">
        <v>280</v>
      </c>
    </row>
    <row r="199" spans="2:11">
      <c r="B199" t="s">
        <v>24</v>
      </c>
    </row>
    <row r="200" spans="2:11">
      <c r="C200" s="45"/>
      <c r="D200" s="45" t="str">
        <f>+D3</f>
        <v>Act 20</v>
      </c>
      <c r="E200" s="45" t="str">
        <f>+E3</f>
        <v>Act 21</v>
      </c>
      <c r="F200" s="45" t="str">
        <f>+F3</f>
        <v>Est 22</v>
      </c>
      <c r="G200" s="45" t="str">
        <f>+G3</f>
        <v>Est 23</v>
      </c>
      <c r="H200" s="45"/>
      <c r="I200" s="45"/>
      <c r="J200" s="45"/>
      <c r="K200" s="45"/>
    </row>
    <row r="201" spans="2:11">
      <c r="B201" t="s">
        <v>21</v>
      </c>
      <c r="C201" s="127"/>
      <c r="D201" s="127">
        <f>+Forecast!E32</f>
        <v>16810475</v>
      </c>
      <c r="E201" s="127">
        <f>+Forecast!F32</f>
        <v>17188441</v>
      </c>
      <c r="F201" s="127">
        <f>+Forecast!H32</f>
        <v>17339955</v>
      </c>
      <c r="G201" s="127">
        <f>+Forecast!I32</f>
        <v>17958872</v>
      </c>
      <c r="H201" s="127"/>
    </row>
    <row r="202" spans="2:11">
      <c r="B202" t="s">
        <v>25</v>
      </c>
      <c r="C202" s="152"/>
      <c r="D202" s="152">
        <f>+Forecast!E33</f>
        <v>9594127</v>
      </c>
      <c r="E202" s="152">
        <f>+Forecast!F33</f>
        <v>10070631</v>
      </c>
      <c r="F202" s="128">
        <f>+Forecast!H33</f>
        <v>11450289</v>
      </c>
      <c r="G202" s="152">
        <f>+Forecast!I33</f>
        <v>11855301</v>
      </c>
      <c r="H202" s="128"/>
    </row>
    <row r="203" spans="2:11">
      <c r="B203" t="s">
        <v>47</v>
      </c>
      <c r="C203" s="152"/>
      <c r="D203" s="152">
        <f>+Forecast!E34</f>
        <v>7165014</v>
      </c>
      <c r="E203" s="152">
        <f>+Forecast!F34</f>
        <v>7401420</v>
      </c>
      <c r="F203" s="128">
        <f>+Forecast!H34</f>
        <v>3758656</v>
      </c>
      <c r="G203" s="152">
        <f>+Forecast!I34</f>
        <v>3782202</v>
      </c>
      <c r="H203" s="128"/>
    </row>
    <row r="204" spans="2:11">
      <c r="B204" t="s">
        <v>282</v>
      </c>
      <c r="C204" s="152"/>
      <c r="D204" s="152">
        <f>+Forecast!E35</f>
        <v>929926</v>
      </c>
      <c r="E204" s="152">
        <f>+Forecast!F35</f>
        <v>906334</v>
      </c>
      <c r="F204" s="128">
        <f>+Forecast!H35</f>
        <v>652926</v>
      </c>
      <c r="G204" s="152">
        <f>+Forecast!I35</f>
        <v>657902</v>
      </c>
      <c r="H204" s="128"/>
    </row>
    <row r="205" spans="2:11">
      <c r="B205" t="s">
        <v>48</v>
      </c>
      <c r="C205" s="152"/>
      <c r="D205" s="152">
        <f>+Forecast!E36</f>
        <v>505281</v>
      </c>
      <c r="E205" s="152">
        <f>+Forecast!F36</f>
        <v>221228</v>
      </c>
      <c r="F205" s="128">
        <f>+Forecast!H36</f>
        <v>323735</v>
      </c>
      <c r="G205" s="152">
        <f>+Forecast!I36</f>
        <v>534775</v>
      </c>
      <c r="H205" s="128"/>
    </row>
    <row r="206" spans="2:11">
      <c r="B206" t="s">
        <v>241</v>
      </c>
      <c r="C206" s="152"/>
      <c r="D206" s="152">
        <f>+Forecast!E46</f>
        <v>385425</v>
      </c>
      <c r="E206" s="152">
        <f>+Forecast!F46</f>
        <v>364583</v>
      </c>
      <c r="F206" s="128">
        <f>+Forecast!H46</f>
        <v>411504</v>
      </c>
      <c r="G206" s="152">
        <f>+Forecast!I46</f>
        <v>415620</v>
      </c>
      <c r="H206" s="128"/>
    </row>
    <row r="207" spans="2:11" ht="14.25" customHeight="1">
      <c r="B207" s="44" t="s">
        <v>418</v>
      </c>
      <c r="C207" s="135"/>
      <c r="D207" s="135">
        <f>SUM(Forecast!E43:E45)</f>
        <v>0</v>
      </c>
      <c r="E207" s="135">
        <f>SUM(Forecast!F43:F45)</f>
        <v>0</v>
      </c>
      <c r="F207" s="124">
        <f>SUM(Forecast!H43:H45)</f>
        <v>0</v>
      </c>
      <c r="G207" s="124">
        <f>SUM(Forecast!I43:I45)</f>
        <v>0</v>
      </c>
      <c r="H207" s="124"/>
    </row>
    <row r="208" spans="2:11">
      <c r="B208" t="s">
        <v>280</v>
      </c>
      <c r="C208" s="127"/>
      <c r="D208" s="127">
        <f>SUM(D201:D207)</f>
        <v>35390248</v>
      </c>
      <c r="E208" s="127">
        <f>SUM(E201:E207)</f>
        <v>36152637</v>
      </c>
      <c r="F208" s="127">
        <f>SUM(F201:F207)</f>
        <v>33937065</v>
      </c>
      <c r="G208" s="127">
        <f>SUM(G201:G207)</f>
        <v>35204672</v>
      </c>
      <c r="H208" s="127"/>
    </row>
    <row r="235" spans="2:15" s="151" customFormat="1">
      <c r="B235" s="151" t="str">
        <f>"General Fund Operating Expenditures Estimated FY"&amp;RIGHT(E200,2)&amp;" "&amp;TEXT(E208,"$##,###")</f>
        <v>General Fund Operating Expenditures Estimated FY21 $36,152,637</v>
      </c>
    </row>
    <row r="236" spans="2:15">
      <c r="B236" s="151" t="str">
        <f>"General Fund Operating Expenditures Estimated FY"&amp;RIGHT(F200,2)&amp;" "&amp;TEXT(F208,"$##,###")</f>
        <v>General Fund Operating Expenditures Estimated FY22 $33,937,065</v>
      </c>
    </row>
    <row r="239" spans="2:15">
      <c r="I239" s="127"/>
      <c r="N239">
        <v>2020</v>
      </c>
    </row>
    <row r="240" spans="2:15">
      <c r="I240" s="128"/>
      <c r="M240" t="s">
        <v>713</v>
      </c>
      <c r="N240" s="135">
        <f>+Forecast!I32</f>
        <v>17958872</v>
      </c>
      <c r="O240" s="662">
        <f>+N240/N242</f>
        <v>0.50962086139734786</v>
      </c>
    </row>
    <row r="241" spans="4:15">
      <c r="I241" s="128"/>
      <c r="M241" t="s">
        <v>25</v>
      </c>
      <c r="N241" s="135">
        <f>+Forecast!I33</f>
        <v>11855301</v>
      </c>
      <c r="O241" s="662">
        <f>+N241/N242</f>
        <v>0.33641916417383227</v>
      </c>
    </row>
    <row r="242" spans="4:15">
      <c r="I242" s="128"/>
      <c r="M242" t="s">
        <v>280</v>
      </c>
      <c r="N242" s="124">
        <f>+Forecast!I54</f>
        <v>35239672</v>
      </c>
      <c r="O242" s="662">
        <f>ROUND(+O240+O241,3)</f>
        <v>0.84599999999999997</v>
      </c>
    </row>
    <row r="243" spans="4:15">
      <c r="I243" s="128"/>
    </row>
    <row r="244" spans="4:15">
      <c r="I244" s="128"/>
      <c r="N244" t="str">
        <f>CONCATENATE(M240," and ",M241," ",(100*O242),"%")</f>
        <v>Salary and Benefits 84.6%</v>
      </c>
    </row>
    <row r="245" spans="4:15" s="44" customFormat="1">
      <c r="D245" s="151"/>
      <c r="E245" s="151"/>
      <c r="F245" s="151"/>
      <c r="G245" s="151"/>
      <c r="I245" s="128"/>
    </row>
    <row r="246" spans="4:15">
      <c r="I246" s="44"/>
    </row>
    <row r="247" spans="4:15">
      <c r="I247" s="127"/>
    </row>
    <row r="274" spans="2:10">
      <c r="B274" s="44" t="str">
        <f>"General Fund Expenditures Actual FY"&amp;RIGHT(C276,2)&amp;"  Through Est. FY"&amp;RIGHT(J276,2)</f>
        <v>General Fund Expenditures Actual FY19  Through Est. FY26</v>
      </c>
    </row>
    <row r="276" spans="2:10">
      <c r="C276" s="45" t="str">
        <f t="shared" ref="C276:J276" si="7">+C3</f>
        <v>Act 19</v>
      </c>
      <c r="D276" s="45" t="str">
        <f t="shared" si="7"/>
        <v>Act 20</v>
      </c>
      <c r="E276" s="45" t="str">
        <f>+E3</f>
        <v>Act 21</v>
      </c>
      <c r="F276" s="45" t="str">
        <f t="shared" si="7"/>
        <v>Est 22</v>
      </c>
      <c r="G276" s="45" t="str">
        <f>+G3</f>
        <v>Est 23</v>
      </c>
      <c r="H276" s="45" t="str">
        <f t="shared" si="7"/>
        <v>Est 24</v>
      </c>
      <c r="I276" s="45" t="str">
        <f t="shared" si="7"/>
        <v>Est 25</v>
      </c>
      <c r="J276" s="45" t="str">
        <f t="shared" si="7"/>
        <v>Est 26</v>
      </c>
    </row>
    <row r="277" spans="2:10">
      <c r="B277" t="s">
        <v>21</v>
      </c>
      <c r="C277" s="127">
        <f>+Forecast!D32</f>
        <v>16205353</v>
      </c>
      <c r="D277" s="127">
        <f>+Forecast!E32</f>
        <v>16810475</v>
      </c>
      <c r="E277" s="127">
        <f>+Forecast!F32</f>
        <v>17188441</v>
      </c>
      <c r="F277" s="127">
        <f>+Forecast!H32</f>
        <v>17339955</v>
      </c>
      <c r="G277" s="127">
        <f>+Forecast!I32</f>
        <v>17958872</v>
      </c>
      <c r="H277" s="127">
        <f>+Forecast!J32</f>
        <v>18600999</v>
      </c>
      <c r="I277" s="127">
        <f>+Forecast!K32</f>
        <v>18911895</v>
      </c>
      <c r="J277" s="127">
        <f>+Forecast!L32</f>
        <v>19228232</v>
      </c>
    </row>
    <row r="278" spans="2:10">
      <c r="B278" t="s">
        <v>25</v>
      </c>
      <c r="C278" s="152">
        <f>+Forecast!D33</f>
        <v>9141807</v>
      </c>
      <c r="D278" s="152">
        <f>+Forecast!E33</f>
        <v>9594127</v>
      </c>
      <c r="E278" s="152">
        <f>+Forecast!F33</f>
        <v>10070631</v>
      </c>
      <c r="F278" s="128">
        <f>+Forecast!H33</f>
        <v>11450289</v>
      </c>
      <c r="G278" s="152">
        <f>+Forecast!I33</f>
        <v>11855301</v>
      </c>
      <c r="H278" s="152">
        <f>+Forecast!J33</f>
        <v>12274763</v>
      </c>
      <c r="I278" s="152">
        <f>+Forecast!K33</f>
        <v>12631454</v>
      </c>
      <c r="J278" s="152">
        <f>+Forecast!L33</f>
        <v>13082841</v>
      </c>
    </row>
    <row r="279" spans="2:10">
      <c r="B279" t="s">
        <v>47</v>
      </c>
      <c r="C279" s="152">
        <f>+Forecast!D34</f>
        <v>7217183</v>
      </c>
      <c r="D279" s="152">
        <f>+Forecast!E34</f>
        <v>7165014</v>
      </c>
      <c r="E279" s="152">
        <f>+Forecast!F34</f>
        <v>7401420</v>
      </c>
      <c r="F279" s="128">
        <f>+Forecast!H34</f>
        <v>3758656</v>
      </c>
      <c r="G279" s="152">
        <f>+Forecast!I34</f>
        <v>3782202</v>
      </c>
      <c r="H279" s="152">
        <f>+Forecast!J34</f>
        <v>3806327</v>
      </c>
      <c r="I279" s="152">
        <f>+Forecast!K34</f>
        <v>3831047</v>
      </c>
      <c r="J279" s="152">
        <f>+Forecast!L34</f>
        <v>3856378</v>
      </c>
    </row>
    <row r="280" spans="2:10">
      <c r="B280" t="s">
        <v>50</v>
      </c>
      <c r="C280" s="152">
        <f>+Forecast!D35</f>
        <v>914145</v>
      </c>
      <c r="D280" s="152">
        <f>+Forecast!E35</f>
        <v>929926</v>
      </c>
      <c r="E280" s="152">
        <f>+Forecast!F35</f>
        <v>906334</v>
      </c>
      <c r="F280" s="128">
        <f>+Forecast!H35</f>
        <v>652926</v>
      </c>
      <c r="G280" s="152">
        <f>+Forecast!I35</f>
        <v>657902</v>
      </c>
      <c r="H280" s="152">
        <f>+Forecast!J35</f>
        <v>657902</v>
      </c>
      <c r="I280" s="152">
        <f>+Forecast!K35</f>
        <v>657902</v>
      </c>
      <c r="J280" s="152">
        <f>+Forecast!L35</f>
        <v>657902</v>
      </c>
    </row>
    <row r="281" spans="2:10">
      <c r="B281" t="s">
        <v>48</v>
      </c>
      <c r="C281" s="152">
        <f>+Forecast!D36</f>
        <v>615808</v>
      </c>
      <c r="D281" s="152">
        <f>+Forecast!E36</f>
        <v>505281</v>
      </c>
      <c r="E281" s="152">
        <f>+Forecast!F36</f>
        <v>221228</v>
      </c>
      <c r="F281" s="128">
        <f>+Forecast!H36</f>
        <v>323735</v>
      </c>
      <c r="G281" s="152">
        <f>+Forecast!I36</f>
        <v>534775</v>
      </c>
      <c r="H281" s="152">
        <f>+Forecast!J36</f>
        <v>536673</v>
      </c>
      <c r="I281" s="152">
        <f>+Forecast!K36</f>
        <v>538590</v>
      </c>
      <c r="J281" s="152">
        <f>+Forecast!L36</f>
        <v>540526</v>
      </c>
    </row>
    <row r="282" spans="2:10">
      <c r="B282" t="s">
        <v>49</v>
      </c>
      <c r="C282" s="129">
        <f>+Forecast!D46</f>
        <v>348692</v>
      </c>
      <c r="D282" s="129">
        <f>+Forecast!E46</f>
        <v>385425</v>
      </c>
      <c r="E282" s="129">
        <f>+Forecast!F46</f>
        <v>364583</v>
      </c>
      <c r="F282" s="129">
        <f>+Forecast!H46</f>
        <v>411504</v>
      </c>
      <c r="G282" s="129">
        <f>+Forecast!I46</f>
        <v>415620</v>
      </c>
      <c r="H282" s="129">
        <f>+Forecast!J46</f>
        <v>419777</v>
      </c>
      <c r="I282" s="129">
        <f>+Forecast!K46</f>
        <v>423976</v>
      </c>
      <c r="J282" s="129">
        <f>+Forecast!L46</f>
        <v>428216</v>
      </c>
    </row>
    <row r="283" spans="2:10">
      <c r="C283" s="130" t="e">
        <f>+C284/#REF!-1</f>
        <v>#REF!</v>
      </c>
      <c r="D283" s="130">
        <f>+D284/C284-1</f>
        <v>2.7502259676192908E-2</v>
      </c>
      <c r="E283" s="130">
        <f>+E284/D284-1</f>
        <v>2.1542346919976474E-2</v>
      </c>
      <c r="F283" s="130">
        <f>+F284/D284-1</f>
        <v>-4.1061678912224675E-2</v>
      </c>
      <c r="G283" s="130">
        <f>+G284/F284-1</f>
        <v>3.73516979149493E-2</v>
      </c>
      <c r="H283" s="130">
        <f>+H284/G284-1</f>
        <v>3.1012048628091149E-2</v>
      </c>
      <c r="I283" s="130">
        <f>+I284/H284-1</f>
        <v>1.9242189613025706E-2</v>
      </c>
      <c r="J283" s="130">
        <f>+J284/I284-1</f>
        <v>2.1603836683924627E-2</v>
      </c>
    </row>
    <row r="284" spans="2:10">
      <c r="B284" t="s">
        <v>51</v>
      </c>
      <c r="C284" s="127">
        <f t="shared" ref="C284:J284" si="8">SUM(C277:C282)</f>
        <v>34442988</v>
      </c>
      <c r="D284" s="127">
        <f t="shared" si="8"/>
        <v>35390248</v>
      </c>
      <c r="E284" s="127">
        <f t="shared" si="8"/>
        <v>36152637</v>
      </c>
      <c r="F284" s="127">
        <f t="shared" si="8"/>
        <v>33937065</v>
      </c>
      <c r="G284" s="127">
        <f t="shared" si="8"/>
        <v>35204672</v>
      </c>
      <c r="H284" s="127">
        <f t="shared" si="8"/>
        <v>36296441</v>
      </c>
      <c r="I284" s="127">
        <f t="shared" si="8"/>
        <v>36994864</v>
      </c>
      <c r="J284" s="127">
        <f t="shared" si="8"/>
        <v>37794095</v>
      </c>
    </row>
    <row r="318" spans="2:10">
      <c r="B318" t="str">
        <f>"General Fund Revenues With Replacement Levies Vs. Expenditures FY"&amp;RIGHT(F320,2)&amp;"  through FY"&amp;RIGHT(J320,2)</f>
        <v>General Fund Revenues With Replacement Levies Vs. Expenditures FY22  through FY26</v>
      </c>
    </row>
    <row r="319" spans="2:10">
      <c r="C319" s="44" t="s">
        <v>250</v>
      </c>
      <c r="D319" s="151" t="s">
        <v>250</v>
      </c>
      <c r="E319" s="151" t="s">
        <v>250</v>
      </c>
      <c r="F319" s="151" t="s">
        <v>250</v>
      </c>
      <c r="G319" s="151" t="s">
        <v>250</v>
      </c>
    </row>
    <row r="320" spans="2:10">
      <c r="C320" s="45"/>
      <c r="D320" s="45"/>
      <c r="E320" s="45"/>
      <c r="F320" s="45" t="str">
        <f>+F3</f>
        <v>Est 22</v>
      </c>
      <c r="G320" s="45" t="str">
        <f>+G3</f>
        <v>Est 23</v>
      </c>
      <c r="H320" s="45" t="str">
        <f>+H3</f>
        <v>Est 24</v>
      </c>
      <c r="I320" s="45" t="str">
        <f>+I3</f>
        <v>Est 25</v>
      </c>
      <c r="J320" s="45" t="str">
        <f>+J3</f>
        <v>Est 26</v>
      </c>
    </row>
    <row r="321" spans="2:16">
      <c r="C321" s="127"/>
      <c r="D321" s="127"/>
      <c r="E321" t="s">
        <v>1078</v>
      </c>
      <c r="F321" s="127">
        <f>+Forecast!H29+Forecast!H77+Forecast!H85</f>
        <v>32857680</v>
      </c>
      <c r="G321" s="127">
        <f>+Forecast!I29+Forecast!I77+Forecast!I85</f>
        <v>34029443</v>
      </c>
      <c r="H321" s="127">
        <f>+Forecast!J29+Forecast!J77+Forecast!J85</f>
        <v>34100467</v>
      </c>
      <c r="I321" s="127">
        <f>+Forecast!K29+Forecast!K77+Forecast!K85</f>
        <v>34029626</v>
      </c>
      <c r="J321" s="127">
        <f>+Forecast!L29+Forecast!L77+Forecast!L85</f>
        <v>34162118</v>
      </c>
    </row>
    <row r="322" spans="2:16" s="151" customFormat="1">
      <c r="C322" s="127"/>
      <c r="D322" s="127"/>
      <c r="E322" s="151" t="s">
        <v>833</v>
      </c>
      <c r="F322" s="127">
        <f>+Forecast!H29</f>
        <v>32857680</v>
      </c>
      <c r="G322" s="127">
        <f>+Forecast!I29</f>
        <v>33125772</v>
      </c>
      <c r="H322" s="127">
        <f>+Forecast!J29</f>
        <v>32314991</v>
      </c>
      <c r="I322" s="127">
        <f>+Forecast!K29</f>
        <v>32244150</v>
      </c>
      <c r="J322" s="127">
        <f>+Forecast!L29</f>
        <v>32376642</v>
      </c>
    </row>
    <row r="323" spans="2:16">
      <c r="C323" s="127"/>
      <c r="D323" s="127"/>
      <c r="E323" t="s">
        <v>10</v>
      </c>
      <c r="F323" s="127">
        <f>+Forecast!H47</f>
        <v>33937065</v>
      </c>
      <c r="G323" s="127">
        <f>+Forecast!I47</f>
        <v>35204672</v>
      </c>
      <c r="H323" s="127">
        <f>+Forecast!J47</f>
        <v>36296441</v>
      </c>
      <c r="I323" s="127">
        <f>+Forecast!K47</f>
        <v>36994864</v>
      </c>
      <c r="J323" s="127">
        <f>+Forecast!L47</f>
        <v>37794095</v>
      </c>
    </row>
    <row r="324" spans="2:16">
      <c r="C324" s="127"/>
      <c r="D324" s="127"/>
      <c r="E324" s="151" t="s">
        <v>834</v>
      </c>
      <c r="F324" s="127">
        <f>+Forecast!H73</f>
        <v>5417966</v>
      </c>
      <c r="G324" s="127">
        <f>+Forecast!I73</f>
        <v>3304066</v>
      </c>
      <c r="H324" s="127">
        <f>+Forecast!J73</f>
        <v>-712384</v>
      </c>
      <c r="I324" s="127">
        <f>+Forecast!K73</f>
        <v>-5498098</v>
      </c>
      <c r="J324" s="127">
        <f>+Forecast!L73</f>
        <v>-10950551</v>
      </c>
    </row>
    <row r="325" spans="2:16">
      <c r="C325" s="127"/>
      <c r="D325" s="127"/>
      <c r="E325" t="s">
        <v>19</v>
      </c>
      <c r="F325" s="127">
        <f>+Forecast!H91</f>
        <v>5417966</v>
      </c>
      <c r="G325" s="127">
        <f>+Forecast!I91</f>
        <v>4207737</v>
      </c>
      <c r="H325" s="127">
        <f>+Forecast!J91</f>
        <v>1976763</v>
      </c>
      <c r="I325" s="127">
        <f>+Forecast!K91</f>
        <v>-1023475</v>
      </c>
      <c r="J325" s="127">
        <f>+Forecast!L91</f>
        <v>-4690452</v>
      </c>
    </row>
    <row r="326" spans="2:16">
      <c r="B326" t="s">
        <v>250</v>
      </c>
      <c r="I326" t="s">
        <v>250</v>
      </c>
      <c r="J326" t="s">
        <v>250</v>
      </c>
      <c r="K326" t="s">
        <v>250</v>
      </c>
      <c r="L326" t="s">
        <v>250</v>
      </c>
      <c r="N326" t="s">
        <v>250</v>
      </c>
      <c r="P326" t="s">
        <v>250</v>
      </c>
    </row>
    <row r="327" spans="2:16">
      <c r="N327" t="s">
        <v>250</v>
      </c>
      <c r="P327" t="s">
        <v>250</v>
      </c>
    </row>
    <row r="328" spans="2:16">
      <c r="N328" t="s">
        <v>250</v>
      </c>
      <c r="P328" t="s">
        <v>250</v>
      </c>
    </row>
    <row r="346" spans="10:10">
      <c r="J346" t="s">
        <v>250</v>
      </c>
    </row>
    <row r="356" spans="2:10" s="151" customFormat="1"/>
    <row r="357" spans="2:10" s="151" customFormat="1"/>
    <row r="359" spans="2:10">
      <c r="B359" t="str">
        <f>"GENERAL FUND Health Insurance FY"&amp;RIGHT(C361,2)&amp;" Through FY"&amp;RIGHT(J361,2)</f>
        <v>GENERAL FUND Health Insurance FY19 Through FY26</v>
      </c>
    </row>
    <row r="361" spans="2:10">
      <c r="C361" s="151" t="str">
        <f t="shared" ref="C361:J361" si="9">+C3</f>
        <v>Act 19</v>
      </c>
      <c r="D361" s="151" t="str">
        <f t="shared" si="9"/>
        <v>Act 20</v>
      </c>
      <c r="E361" s="151" t="str">
        <f>+E3</f>
        <v>Act 21</v>
      </c>
      <c r="F361" s="151" t="str">
        <f t="shared" si="9"/>
        <v>Est 22</v>
      </c>
      <c r="G361" s="151" t="str">
        <f>+G3</f>
        <v>Est 23</v>
      </c>
      <c r="H361" s="151" t="str">
        <f t="shared" si="9"/>
        <v>Est 24</v>
      </c>
      <c r="I361" s="151" t="str">
        <f t="shared" si="9"/>
        <v>Est 25</v>
      </c>
      <c r="J361" s="151" t="str">
        <f t="shared" si="9"/>
        <v>Est 26</v>
      </c>
    </row>
    <row r="362" spans="2:10">
      <c r="B362" t="s">
        <v>1070</v>
      </c>
      <c r="C362" s="157" t="e">
        <f>+'Note Calc'!#REF!</f>
        <v>#REF!</v>
      </c>
      <c r="D362" s="157">
        <f>+'Note Calc'!C248</f>
        <v>5021909</v>
      </c>
      <c r="E362" s="157">
        <f>+'Note Calc'!D248</f>
        <v>5421813</v>
      </c>
      <c r="F362" s="157">
        <f>+'Note Calc'!E248</f>
        <v>5826631</v>
      </c>
      <c r="G362" s="157">
        <f>+'Note Calc'!F248</f>
        <v>7182001</v>
      </c>
      <c r="H362" s="157">
        <f>+'Note Calc'!G248</f>
        <v>7544101</v>
      </c>
      <c r="I362" s="157">
        <f>+'Note Calc'!H248</f>
        <v>7945279</v>
      </c>
      <c r="J362" s="157">
        <f>+'Note Calc'!I248</f>
        <v>8367415</v>
      </c>
    </row>
    <row r="383" spans="12:15">
      <c r="L383" t="s">
        <v>451</v>
      </c>
      <c r="M383" t="s">
        <v>452</v>
      </c>
      <c r="N383" t="s">
        <v>274</v>
      </c>
      <c r="O383" t="s">
        <v>200</v>
      </c>
    </row>
    <row r="384" spans="12:15">
      <c r="L384" s="155">
        <v>17042</v>
      </c>
      <c r="M384" s="155">
        <v>15719595</v>
      </c>
      <c r="N384" s="155">
        <v>15230589</v>
      </c>
      <c r="O384" s="155">
        <v>14495792</v>
      </c>
    </row>
    <row r="392" spans="3:10" s="44" customFormat="1">
      <c r="D392" s="151"/>
      <c r="E392" s="151"/>
      <c r="F392" s="151"/>
      <c r="G392" s="151"/>
    </row>
    <row r="393" spans="3:10" s="44" customFormat="1">
      <c r="D393" s="151"/>
      <c r="E393" s="151"/>
      <c r="F393" s="151"/>
      <c r="G393" s="151"/>
    </row>
    <row r="394" spans="3:10" s="44" customFormat="1">
      <c r="D394" s="151"/>
      <c r="E394" s="151"/>
      <c r="F394" s="151"/>
      <c r="G394" s="151"/>
    </row>
    <row r="398" spans="3:10" s="151" customFormat="1"/>
    <row r="399" spans="3:10" s="151" customFormat="1"/>
    <row r="400" spans="3:10" s="151" customFormat="1">
      <c r="C400" s="45"/>
      <c r="D400" s="45"/>
      <c r="E400" s="45"/>
      <c r="F400" s="45" t="str">
        <f>+'Note Calc'!E49</f>
        <v>FY21</v>
      </c>
      <c r="G400" s="45" t="str">
        <f>+'Note Calc'!F49</f>
        <v>FY22</v>
      </c>
      <c r="H400" s="45" t="str">
        <f>+'Note Calc'!G49</f>
        <v>FY23</v>
      </c>
      <c r="I400" s="45" t="str">
        <f>+'Note Calc'!H49</f>
        <v>FY24</v>
      </c>
      <c r="J400" s="45" t="str">
        <f>+'Note Calc'!I49</f>
        <v>FY25</v>
      </c>
    </row>
    <row r="401" spans="2:10" s="151" customFormat="1">
      <c r="B401" s="151" t="s">
        <v>644</v>
      </c>
      <c r="F401" s="122">
        <f>+Forecast!H57</f>
        <v>6532351</v>
      </c>
      <c r="G401" s="122">
        <f>+Forecast!I57</f>
        <v>5417966</v>
      </c>
      <c r="H401" s="122">
        <f>+Forecast!J57</f>
        <v>3304066</v>
      </c>
      <c r="I401" s="122">
        <f>+Forecast!K57</f>
        <v>-712384</v>
      </c>
      <c r="J401" s="122">
        <f>+Forecast!L57</f>
        <v>-5498098</v>
      </c>
    </row>
    <row r="402" spans="2:10" s="151" customFormat="1"/>
    <row r="403" spans="2:10" s="151" customFormat="1">
      <c r="B403" s="151" t="s">
        <v>639</v>
      </c>
      <c r="F403" s="122">
        <f>+Forecast!H29</f>
        <v>32857680</v>
      </c>
      <c r="G403" s="122">
        <f>+Forecast!I29</f>
        <v>33125772</v>
      </c>
      <c r="H403" s="122">
        <f>+Forecast!J29</f>
        <v>32314991</v>
      </c>
      <c r="I403" s="122">
        <f>+Forecast!K29</f>
        <v>32244150</v>
      </c>
      <c r="J403" s="122">
        <f>+Forecast!L29</f>
        <v>32376642</v>
      </c>
    </row>
    <row r="404" spans="2:10" s="151" customFormat="1">
      <c r="B404" s="151" t="s">
        <v>640</v>
      </c>
      <c r="F404" s="124">
        <f>+Forecast!H76+Forecast!H77</f>
        <v>0</v>
      </c>
      <c r="G404" s="124">
        <f>+Forecast!I76+Forecast!I77</f>
        <v>903671</v>
      </c>
      <c r="H404" s="124">
        <f>+Forecast!J76+Forecast!J77</f>
        <v>1785476</v>
      </c>
      <c r="I404" s="124">
        <f>+Forecast!K76+Forecast!K77</f>
        <v>1785476</v>
      </c>
      <c r="J404" s="124">
        <f>+Forecast!L76+Forecast!L77</f>
        <v>1785476</v>
      </c>
    </row>
    <row r="405" spans="2:10" s="151" customFormat="1">
      <c r="B405" s="151" t="s">
        <v>641</v>
      </c>
      <c r="F405" s="124">
        <f>+Forecast!H84+Forecast!H85</f>
        <v>0</v>
      </c>
      <c r="G405" s="124">
        <f>+Forecast!I84+Forecast!I85</f>
        <v>0</v>
      </c>
      <c r="H405" s="124">
        <f>+Forecast!J84+Forecast!J85</f>
        <v>0</v>
      </c>
      <c r="I405" s="124">
        <f>+Forecast!K84+Forecast!K85</f>
        <v>0</v>
      </c>
      <c r="J405" s="124">
        <f>+Forecast!L84+Forecast!L85</f>
        <v>0</v>
      </c>
    </row>
    <row r="406" spans="2:10" s="151" customFormat="1">
      <c r="B406" s="151" t="s">
        <v>642</v>
      </c>
      <c r="F406" s="124">
        <f>Forecast!H54</f>
        <v>33972065</v>
      </c>
      <c r="G406" s="124">
        <f>Forecast!I54</f>
        <v>35239672</v>
      </c>
      <c r="H406" s="124">
        <f>Forecast!J54</f>
        <v>36331441</v>
      </c>
      <c r="I406" s="124">
        <f>Forecast!K54</f>
        <v>37029864</v>
      </c>
      <c r="J406" s="124">
        <f>Forecast!L54</f>
        <v>37829095</v>
      </c>
    </row>
    <row r="407" spans="2:10" s="151" customFormat="1">
      <c r="B407" s="151" t="s">
        <v>643</v>
      </c>
      <c r="F407" s="122">
        <f>SUM(F403:F405)-F406</f>
        <v>-1114385</v>
      </c>
      <c r="G407" s="122">
        <f>SUM(G403:G405)-G406</f>
        <v>-1210229</v>
      </c>
      <c r="H407" s="122">
        <f>SUM(H403:H405)-H406</f>
        <v>-2230974</v>
      </c>
      <c r="I407" s="122">
        <f>SUM(I403:I405)-I406</f>
        <v>-3000238</v>
      </c>
      <c r="J407" s="122">
        <f>SUM(J403:J405)-J406</f>
        <v>-3666977</v>
      </c>
    </row>
    <row r="408" spans="2:10" s="151" customFormat="1"/>
    <row r="409" spans="2:10" s="151" customFormat="1">
      <c r="B409" s="151" t="s">
        <v>645</v>
      </c>
      <c r="F409" s="122">
        <f>+F401+F407</f>
        <v>5417966</v>
      </c>
      <c r="G409" s="122">
        <f>+G401+G407</f>
        <v>4207737</v>
      </c>
      <c r="H409" s="122">
        <f>+H401+H407</f>
        <v>1073092</v>
      </c>
      <c r="I409" s="122">
        <f>+I401+I407</f>
        <v>-3712622</v>
      </c>
      <c r="J409" s="122">
        <f>+J401+J407</f>
        <v>-9165075</v>
      </c>
    </row>
    <row r="410" spans="2:10" s="151" customFormat="1"/>
    <row r="411" spans="2:10" s="151" customFormat="1">
      <c r="B411" s="151" t="s">
        <v>646</v>
      </c>
      <c r="F411" s="122">
        <f>+F403-F406</f>
        <v>-1114385</v>
      </c>
      <c r="G411" s="122">
        <f>+G403-G406</f>
        <v>-2113900</v>
      </c>
      <c r="H411" s="122">
        <f>+H403-H406</f>
        <v>-4016450</v>
      </c>
      <c r="I411" s="122">
        <f>+I403-I406</f>
        <v>-4785714</v>
      </c>
      <c r="J411" s="122">
        <f>+J403-J406</f>
        <v>-5452453</v>
      </c>
    </row>
    <row r="412" spans="2:10" s="151" customFormat="1">
      <c r="B412" s="151" t="s">
        <v>647</v>
      </c>
      <c r="F412" s="122">
        <f>+F401+F411</f>
        <v>5417966</v>
      </c>
      <c r="G412" s="122">
        <f>+G401+G411</f>
        <v>3304066</v>
      </c>
      <c r="H412" s="122">
        <f>+H401+H411</f>
        <v>-712384</v>
      </c>
      <c r="I412" s="122">
        <f>+I401+I411</f>
        <v>-5498098</v>
      </c>
      <c r="J412" s="122">
        <f>+J401+J411</f>
        <v>-10950551</v>
      </c>
    </row>
    <row r="413" spans="2:10" s="151" customFormat="1"/>
    <row r="414" spans="2:10" s="151" customFormat="1"/>
    <row r="415" spans="2:10" s="151" customFormat="1"/>
    <row r="416" spans="2:10" s="151" customFormat="1"/>
    <row r="417" s="151" customFormat="1"/>
    <row r="418" s="151" customFormat="1"/>
    <row r="419" s="151" customFormat="1"/>
    <row r="420" s="151" customFormat="1"/>
    <row r="421" s="151" customFormat="1"/>
    <row r="422" s="151" customFormat="1"/>
    <row r="423" s="151" customFormat="1"/>
    <row r="424" s="151" customFormat="1"/>
    <row r="425" s="151" customFormat="1"/>
    <row r="426" s="151" customFormat="1"/>
    <row r="427" s="151" customFormat="1"/>
    <row r="428" s="151" customFormat="1"/>
    <row r="429" s="151" customFormat="1"/>
    <row r="430" s="151" customFormat="1"/>
    <row r="431" s="151" customFormat="1"/>
    <row r="432" s="151" customFormat="1"/>
    <row r="433" spans="1:13" s="151" customFormat="1"/>
    <row r="434" spans="1:13" s="151" customFormat="1"/>
    <row r="435" spans="1:13" s="151" customFormat="1"/>
    <row r="436" spans="1:13" s="151" customFormat="1"/>
    <row r="437" spans="1:13" s="151" customFormat="1"/>
    <row r="438" spans="1:13" s="151" customFormat="1"/>
    <row r="439" spans="1:13" s="151" customFormat="1"/>
    <row r="440" spans="1:13" s="151" customFormat="1"/>
    <row r="441" spans="1:13" s="151" customFormat="1"/>
    <row r="442" spans="1:13" s="151" customFormat="1"/>
    <row r="443" spans="1:13" s="151" customFormat="1"/>
    <row r="445" spans="1:13">
      <c r="A445" t="s">
        <v>190</v>
      </c>
      <c r="B445" t="s">
        <v>190</v>
      </c>
      <c r="C445" s="44" t="s">
        <v>190</v>
      </c>
      <c r="D445" s="151" t="s">
        <v>190</v>
      </c>
      <c r="E445" s="151" t="s">
        <v>190</v>
      </c>
      <c r="F445" s="151" t="s">
        <v>190</v>
      </c>
      <c r="G445" s="151" t="s">
        <v>190</v>
      </c>
      <c r="H445" t="s">
        <v>190</v>
      </c>
      <c r="I445" t="s">
        <v>190</v>
      </c>
      <c r="J445" t="s">
        <v>190</v>
      </c>
      <c r="K445" t="s">
        <v>190</v>
      </c>
      <c r="L445" t="s">
        <v>190</v>
      </c>
      <c r="M445" t="s">
        <v>190</v>
      </c>
    </row>
  </sheetData>
  <phoneticPr fontId="0" type="noConversion"/>
  <pageMargins left="0.5" right="0.5" top="0.75" bottom="0.75" header="0.5" footer="0.5"/>
  <pageSetup scale="79" firstPageNumber="19" fitToHeight="13" orientation="landscape" useFirstPageNumber="1" horizontalDpi="4294967292" verticalDpi="4294967292" r:id="rId1"/>
  <headerFooter alignWithMargins="0">
    <oddFooter>&amp;C&amp;P</oddFooter>
  </headerFooter>
  <rowBreaks count="9" manualBreakCount="9">
    <brk id="32" max="11" man="1"/>
    <brk id="68" max="11" man="1"/>
    <brk id="127" max="11" man="1"/>
    <brk id="163" max="11" man="1"/>
    <brk id="233" max="11" man="1"/>
    <brk id="272" max="11" man="1"/>
    <brk id="315" max="11" man="1"/>
    <brk id="354" max="11" man="1"/>
    <brk id="391" max="11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  <pageSetUpPr fitToPage="1"/>
  </sheetPr>
  <dimension ref="A1:Q153"/>
  <sheetViews>
    <sheetView workbookViewId="0">
      <selection activeCell="B7" sqref="B7"/>
    </sheetView>
  </sheetViews>
  <sheetFormatPr defaultRowHeight="13.2"/>
  <cols>
    <col min="1" max="1" width="55.88671875" customWidth="1"/>
    <col min="2" max="2" width="9.5546875" bestFit="1" customWidth="1"/>
    <col min="3" max="3" width="15.33203125" bestFit="1" customWidth="1"/>
    <col min="4" max="4" width="11.88671875" hidden="1" customWidth="1"/>
    <col min="5" max="5" width="12.88671875" hidden="1" customWidth="1"/>
    <col min="6" max="6" width="12.109375" hidden="1" customWidth="1"/>
    <col min="7" max="7" width="12.5546875" customWidth="1"/>
    <col min="8" max="9" width="12.109375" bestFit="1" customWidth="1"/>
    <col min="10" max="10" width="12.6640625" bestFit="1" customWidth="1"/>
    <col min="11" max="11" width="10.109375" bestFit="1" customWidth="1"/>
    <col min="12" max="13" width="10.6640625" bestFit="1" customWidth="1"/>
    <col min="14" max="14" width="11.6640625" bestFit="1" customWidth="1"/>
    <col min="15" max="17" width="10.109375" bestFit="1" customWidth="1"/>
  </cols>
  <sheetData>
    <row r="1" spans="1:17" ht="14.4">
      <c r="A1" s="121" t="s">
        <v>437</v>
      </c>
      <c r="I1" s="68" t="s">
        <v>438</v>
      </c>
    </row>
    <row r="3" spans="1:17">
      <c r="B3" s="45" t="s">
        <v>227</v>
      </c>
      <c r="C3" s="45">
        <v>2022</v>
      </c>
      <c r="D3" s="45"/>
      <c r="E3" s="45"/>
      <c r="F3" s="45"/>
      <c r="G3" s="45"/>
      <c r="H3" s="45"/>
      <c r="I3" s="45"/>
      <c r="J3" s="45"/>
      <c r="K3" s="45"/>
      <c r="L3" s="45"/>
    </row>
    <row r="4" spans="1:17">
      <c r="A4" t="s">
        <v>62</v>
      </c>
      <c r="B4" s="45" t="s">
        <v>228</v>
      </c>
      <c r="C4" s="45" t="s">
        <v>172</v>
      </c>
      <c r="D4" s="45" t="s">
        <v>15</v>
      </c>
      <c r="E4" s="45" t="s">
        <v>16</v>
      </c>
      <c r="F4" s="45" t="s">
        <v>38</v>
      </c>
      <c r="G4" s="45" t="s">
        <v>430</v>
      </c>
      <c r="H4" s="45" t="s">
        <v>431</v>
      </c>
      <c r="I4" s="45" t="s">
        <v>432</v>
      </c>
      <c r="J4" s="45" t="s">
        <v>433</v>
      </c>
      <c r="K4" s="45" t="s">
        <v>434</v>
      </c>
      <c r="L4" s="45" t="s">
        <v>435</v>
      </c>
      <c r="M4" s="45" t="s">
        <v>978</v>
      </c>
      <c r="N4" s="45" t="s">
        <v>979</v>
      </c>
      <c r="O4" s="45" t="s">
        <v>1001</v>
      </c>
      <c r="P4" s="45" t="s">
        <v>995</v>
      </c>
      <c r="Q4" s="45" t="s">
        <v>1002</v>
      </c>
    </row>
    <row r="5" spans="1:17">
      <c r="A5" t="s">
        <v>1003</v>
      </c>
      <c r="B5">
        <v>4.6032452422786099</v>
      </c>
      <c r="C5" s="127">
        <f>+Tax!J10</f>
        <v>387873390</v>
      </c>
      <c r="D5" s="127">
        <v>0</v>
      </c>
      <c r="E5" s="127">
        <f>(((($B$5/1000)*$C$13)*0)*0)</f>
        <v>0</v>
      </c>
      <c r="F5" s="127">
        <f>((($B$5/1000)*0.95))</f>
        <v>4.3730829801646798E-3</v>
      </c>
      <c r="G5" s="127">
        <f t="shared" ref="G5:K5" si="0">((($B$5/1000)*0.95))</f>
        <v>4.3730829801646798E-3</v>
      </c>
      <c r="H5" s="127">
        <f t="shared" si="0"/>
        <v>4.3730829801646798E-3</v>
      </c>
      <c r="I5" s="127">
        <f t="shared" si="0"/>
        <v>4.3730829801646798E-3</v>
      </c>
      <c r="J5" s="127">
        <f t="shared" si="0"/>
        <v>4.3730829801646798E-3</v>
      </c>
      <c r="K5" s="127">
        <f t="shared" si="0"/>
        <v>4.3730829801646798E-3</v>
      </c>
      <c r="L5" s="127">
        <f>((($B$5*C$5/1000)*0.506123))</f>
        <v>903670.64017419796</v>
      </c>
      <c r="M5" s="127">
        <f>((($B$5*$C5/1000)*1))</f>
        <v>1785476.3371239759</v>
      </c>
      <c r="N5" s="127">
        <f>((($B$5*$C5/1000)*1))</f>
        <v>1785476.3371239759</v>
      </c>
      <c r="O5" s="127">
        <f t="shared" ref="O5:Q5" si="1">((($B$5*$C5/1000)*1))</f>
        <v>1785476.3371239759</v>
      </c>
      <c r="P5" s="127">
        <f t="shared" si="1"/>
        <v>1785476.3371239759</v>
      </c>
      <c r="Q5" s="127">
        <f t="shared" si="1"/>
        <v>1785476.3371239759</v>
      </c>
    </row>
    <row r="6" spans="1:17">
      <c r="A6" s="34" t="s">
        <v>1077</v>
      </c>
      <c r="B6" s="34">
        <v>0</v>
      </c>
      <c r="C6" s="1580">
        <f>+Tax!J10</f>
        <v>387873390</v>
      </c>
      <c r="D6" s="1580">
        <v>0</v>
      </c>
      <c r="E6" s="1580">
        <v>0</v>
      </c>
      <c r="F6" s="1580">
        <v>0</v>
      </c>
      <c r="G6" s="1580">
        <v>0</v>
      </c>
      <c r="H6" s="1580">
        <f>(((($B$6/1000)*$C$13)*0.95)*0.54)</f>
        <v>0</v>
      </c>
      <c r="I6" s="1580">
        <f>((($B$6/1000)*$C$13)*0.95)</f>
        <v>0</v>
      </c>
      <c r="J6" s="1580">
        <f>((($B$6/1000)*$C$13)*0.95)</f>
        <v>0</v>
      </c>
      <c r="K6" s="1580">
        <f>((($B$6/1000)*$C$13)*0.95)</f>
        <v>0</v>
      </c>
      <c r="L6" s="1580">
        <f>((($B$6*$C6/1000)*0.506123))</f>
        <v>0</v>
      </c>
      <c r="M6" s="1580">
        <f>((($B$6*$C6/1000)*1))</f>
        <v>0</v>
      </c>
      <c r="N6" s="1580">
        <f t="shared" ref="N6:Q6" si="2">((($B$6*$C6/1000)*1))</f>
        <v>0</v>
      </c>
      <c r="O6" s="1580">
        <f t="shared" si="2"/>
        <v>0</v>
      </c>
      <c r="P6" s="1580">
        <f t="shared" si="2"/>
        <v>0</v>
      </c>
      <c r="Q6" s="1580">
        <f t="shared" si="2"/>
        <v>0</v>
      </c>
    </row>
    <row r="7" spans="1:17">
      <c r="A7" t="s">
        <v>436</v>
      </c>
      <c r="C7" s="127"/>
      <c r="D7" s="127">
        <v>0</v>
      </c>
      <c r="E7" s="127">
        <v>0</v>
      </c>
      <c r="F7" s="127">
        <v>0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  <c r="L7" s="127"/>
    </row>
    <row r="8" spans="1:17">
      <c r="C8" s="127"/>
      <c r="D8" s="127"/>
      <c r="E8" s="127"/>
      <c r="F8" s="127"/>
      <c r="G8" s="127"/>
      <c r="H8" s="127"/>
      <c r="I8" s="127"/>
      <c r="J8" s="127"/>
      <c r="K8" s="127"/>
      <c r="L8" s="127"/>
    </row>
    <row r="9" spans="1:17">
      <c r="A9" t="s">
        <v>224</v>
      </c>
      <c r="C9" s="127"/>
      <c r="D9" s="127">
        <v>0</v>
      </c>
      <c r="E9" s="127">
        <v>0</v>
      </c>
      <c r="F9" s="127">
        <v>1924000</v>
      </c>
      <c r="G9" s="127"/>
      <c r="H9" s="127"/>
      <c r="I9" s="127"/>
      <c r="J9" s="127"/>
      <c r="K9" s="127"/>
      <c r="L9" s="127"/>
    </row>
    <row r="10" spans="1:17">
      <c r="C10" s="127"/>
      <c r="D10" s="127"/>
      <c r="E10" s="127"/>
      <c r="F10" s="127"/>
      <c r="G10" s="127"/>
      <c r="H10" s="127"/>
      <c r="I10" s="127"/>
      <c r="J10" s="127"/>
      <c r="K10" s="127"/>
      <c r="L10" s="127"/>
    </row>
    <row r="11" spans="1:17">
      <c r="A11" t="s">
        <v>173</v>
      </c>
      <c r="C11" s="127"/>
      <c r="D11" s="127"/>
      <c r="E11" s="127"/>
      <c r="F11" s="127"/>
      <c r="G11" s="127">
        <f>+Forecast!D91</f>
        <v>7030148</v>
      </c>
      <c r="H11" s="127">
        <f>+Forecast!E91</f>
        <v>6529301</v>
      </c>
      <c r="I11" s="127">
        <f>+Forecast!F91</f>
        <v>6532351</v>
      </c>
      <c r="J11" s="127">
        <f>+Forecast!H91</f>
        <v>5417966</v>
      </c>
      <c r="K11" s="127">
        <f>+Forecast!I91</f>
        <v>4207737</v>
      </c>
      <c r="L11" s="127">
        <f>+Forecast!J91</f>
        <v>1976763</v>
      </c>
      <c r="M11" s="127">
        <f>+Forecast!K91</f>
        <v>-1023475</v>
      </c>
      <c r="N11" s="127">
        <f>+Forecast!L91</f>
        <v>-4690452</v>
      </c>
      <c r="O11" s="127">
        <f>+Forecast!M91</f>
        <v>0</v>
      </c>
      <c r="P11" s="127" t="e">
        <f>+Forecast!#REF!</f>
        <v>#REF!</v>
      </c>
      <c r="Q11" s="127" t="e">
        <f>+Forecast!#REF!</f>
        <v>#REF!</v>
      </c>
    </row>
    <row r="12" spans="1:17">
      <c r="C12" s="127"/>
      <c r="D12" s="127"/>
      <c r="E12" s="127"/>
      <c r="F12" s="127"/>
      <c r="G12" s="127"/>
      <c r="H12" s="127"/>
      <c r="I12" s="127"/>
      <c r="J12" s="127"/>
      <c r="K12" s="127"/>
      <c r="L12" s="127"/>
    </row>
    <row r="13" spans="1:17">
      <c r="A13" t="s">
        <v>429</v>
      </c>
      <c r="B13">
        <v>0</v>
      </c>
      <c r="C13" s="127"/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127">
        <v>0</v>
      </c>
      <c r="J13" s="127"/>
      <c r="K13" s="127"/>
      <c r="L13" s="127"/>
    </row>
    <row r="14" spans="1:17">
      <c r="A14" t="s">
        <v>174</v>
      </c>
      <c r="C14" s="127"/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/>
      <c r="K14" s="127"/>
      <c r="L14" s="127"/>
    </row>
    <row r="15" spans="1:17">
      <c r="A15" t="s">
        <v>250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</row>
    <row r="16" spans="1:17">
      <c r="A16" t="s">
        <v>225</v>
      </c>
      <c r="C16" s="127"/>
      <c r="D16" s="127">
        <v>14219627</v>
      </c>
      <c r="E16" s="127">
        <v>85740975.175115883</v>
      </c>
      <c r="F16" s="127">
        <v>208651518.12978947</v>
      </c>
      <c r="G16" s="127">
        <v>378750747.02159536</v>
      </c>
      <c r="H16" s="127">
        <v>595415611.02356243</v>
      </c>
      <c r="I16" s="127" t="e">
        <v>#REF!</v>
      </c>
      <c r="J16" s="127"/>
      <c r="K16" s="127"/>
      <c r="L16" s="127"/>
    </row>
    <row r="17" spans="1:12">
      <c r="C17" s="127"/>
      <c r="D17" s="127"/>
      <c r="E17" s="127"/>
      <c r="F17" s="127"/>
      <c r="G17" s="127"/>
      <c r="H17" s="127"/>
      <c r="I17" s="127"/>
      <c r="J17" s="127"/>
      <c r="K17" s="127"/>
      <c r="L17" s="127"/>
    </row>
    <row r="20" spans="1:12">
      <c r="A20" t="s">
        <v>267</v>
      </c>
      <c r="B20" s="45" t="s">
        <v>269</v>
      </c>
      <c r="C20" s="45" t="s">
        <v>64</v>
      </c>
      <c r="D20" s="45" t="s">
        <v>22</v>
      </c>
      <c r="E20" s="45" t="s">
        <v>286</v>
      </c>
      <c r="F20" s="45" t="s">
        <v>242</v>
      </c>
      <c r="G20" s="45" t="s">
        <v>278</v>
      </c>
      <c r="H20" s="45" t="s">
        <v>279</v>
      </c>
      <c r="I20" s="45" t="s">
        <v>14</v>
      </c>
      <c r="J20" s="45" t="s">
        <v>15</v>
      </c>
      <c r="K20" s="45" t="s">
        <v>16</v>
      </c>
      <c r="L20" s="45" t="s">
        <v>38</v>
      </c>
    </row>
    <row r="21" spans="1:12">
      <c r="A21" t="s">
        <v>268</v>
      </c>
      <c r="C21" s="45" t="s">
        <v>63</v>
      </c>
      <c r="D21">
        <v>0</v>
      </c>
      <c r="E21">
        <v>0.05</v>
      </c>
      <c r="F21">
        <v>0.69</v>
      </c>
      <c r="G21">
        <v>1.08</v>
      </c>
      <c r="H21">
        <v>1</v>
      </c>
      <c r="I21">
        <v>1</v>
      </c>
      <c r="J21">
        <v>1</v>
      </c>
      <c r="K21">
        <v>1</v>
      </c>
    </row>
    <row r="23" spans="1:12">
      <c r="A23" t="s">
        <v>237</v>
      </c>
    </row>
    <row r="24" spans="1:12">
      <c r="B24">
        <v>0.01</v>
      </c>
      <c r="C24">
        <v>0</v>
      </c>
      <c r="D24">
        <f>D$21*$C$24</f>
        <v>0</v>
      </c>
      <c r="E24">
        <f>E$21*$C$24</f>
        <v>0</v>
      </c>
      <c r="F24">
        <f t="shared" ref="F24:K24" si="3">F$21*$C$24</f>
        <v>0</v>
      </c>
      <c r="G24">
        <f t="shared" si="3"/>
        <v>0</v>
      </c>
      <c r="H24">
        <f t="shared" si="3"/>
        <v>0</v>
      </c>
      <c r="I24">
        <f t="shared" si="3"/>
        <v>0</v>
      </c>
      <c r="J24">
        <f t="shared" si="3"/>
        <v>0</v>
      </c>
      <c r="K24">
        <f t="shared" si="3"/>
        <v>0</v>
      </c>
    </row>
    <row r="25" spans="1:12">
      <c r="B25">
        <v>1.2500000000000001E-2</v>
      </c>
      <c r="C25">
        <f>C24*1.25</f>
        <v>0</v>
      </c>
      <c r="D25">
        <f>D$21*$C25</f>
        <v>0</v>
      </c>
      <c r="E25">
        <f>E$21*$C25</f>
        <v>0</v>
      </c>
      <c r="F25">
        <f t="shared" ref="F25:K26" si="4">F$21*$C25</f>
        <v>0</v>
      </c>
      <c r="G25">
        <f t="shared" si="4"/>
        <v>0</v>
      </c>
      <c r="H25">
        <f t="shared" si="4"/>
        <v>0</v>
      </c>
      <c r="I25">
        <f t="shared" si="4"/>
        <v>0</v>
      </c>
      <c r="J25">
        <f t="shared" si="4"/>
        <v>0</v>
      </c>
      <c r="K25">
        <f t="shared" si="4"/>
        <v>0</v>
      </c>
    </row>
    <row r="26" spans="1:12">
      <c r="B26">
        <v>1.4999999999999999E-2</v>
      </c>
      <c r="C26">
        <f>C24*1.5</f>
        <v>0</v>
      </c>
      <c r="D26">
        <f>D$21*$C26</f>
        <v>0</v>
      </c>
      <c r="E26">
        <f>E$21*$C26</f>
        <v>0</v>
      </c>
      <c r="F26">
        <f t="shared" si="4"/>
        <v>0</v>
      </c>
      <c r="G26">
        <f t="shared" si="4"/>
        <v>0</v>
      </c>
      <c r="H26">
        <f t="shared" si="4"/>
        <v>0</v>
      </c>
      <c r="I26">
        <f t="shared" si="4"/>
        <v>0</v>
      </c>
      <c r="J26">
        <f t="shared" si="4"/>
        <v>0</v>
      </c>
      <c r="K26">
        <f t="shared" si="4"/>
        <v>0</v>
      </c>
    </row>
    <row r="27" spans="1:12">
      <c r="B27">
        <v>1.7500000000000002E-2</v>
      </c>
      <c r="C27">
        <f>C24*1.75</f>
        <v>0</v>
      </c>
      <c r="D27">
        <f t="shared" ref="D27:K32" si="5">D$21*$C27</f>
        <v>0</v>
      </c>
      <c r="E27">
        <f t="shared" si="5"/>
        <v>0</v>
      </c>
      <c r="F27">
        <f t="shared" si="5"/>
        <v>0</v>
      </c>
      <c r="G27">
        <f t="shared" si="5"/>
        <v>0</v>
      </c>
      <c r="H27">
        <f t="shared" si="5"/>
        <v>0</v>
      </c>
      <c r="I27">
        <f t="shared" si="5"/>
        <v>0</v>
      </c>
      <c r="J27">
        <f t="shared" si="5"/>
        <v>0</v>
      </c>
      <c r="K27">
        <f t="shared" si="5"/>
        <v>0</v>
      </c>
    </row>
    <row r="28" spans="1:12">
      <c r="B28">
        <v>0.02</v>
      </c>
      <c r="C28">
        <f>C24*2</f>
        <v>0</v>
      </c>
      <c r="D28">
        <f t="shared" si="5"/>
        <v>0</v>
      </c>
      <c r="E28">
        <f t="shared" si="5"/>
        <v>0</v>
      </c>
      <c r="F28">
        <f t="shared" si="5"/>
        <v>0</v>
      </c>
      <c r="G28">
        <f t="shared" si="5"/>
        <v>0</v>
      </c>
      <c r="H28">
        <f t="shared" si="5"/>
        <v>0</v>
      </c>
      <c r="I28">
        <f t="shared" si="5"/>
        <v>0</v>
      </c>
      <c r="J28">
        <f t="shared" si="5"/>
        <v>0</v>
      </c>
      <c r="K28">
        <f t="shared" si="5"/>
        <v>0</v>
      </c>
    </row>
    <row r="29" spans="1:12">
      <c r="B29">
        <v>2.2499999999999999E-2</v>
      </c>
      <c r="C29">
        <f>C24*2.25</f>
        <v>0</v>
      </c>
      <c r="D29">
        <f t="shared" si="5"/>
        <v>0</v>
      </c>
      <c r="E29">
        <f t="shared" si="5"/>
        <v>0</v>
      </c>
      <c r="F29">
        <f t="shared" si="5"/>
        <v>0</v>
      </c>
      <c r="G29">
        <f t="shared" si="5"/>
        <v>0</v>
      </c>
      <c r="H29">
        <f t="shared" si="5"/>
        <v>0</v>
      </c>
      <c r="I29">
        <f t="shared" si="5"/>
        <v>0</v>
      </c>
      <c r="J29">
        <f t="shared" si="5"/>
        <v>0</v>
      </c>
      <c r="K29">
        <f t="shared" si="5"/>
        <v>0</v>
      </c>
    </row>
    <row r="30" spans="1:12">
      <c r="B30">
        <v>2.5000000000000001E-2</v>
      </c>
      <c r="C30">
        <f>C24*2.5</f>
        <v>0</v>
      </c>
      <c r="D30">
        <f t="shared" si="5"/>
        <v>0</v>
      </c>
      <c r="E30">
        <f t="shared" si="5"/>
        <v>0</v>
      </c>
      <c r="F30">
        <f t="shared" si="5"/>
        <v>0</v>
      </c>
      <c r="G30">
        <f t="shared" si="5"/>
        <v>0</v>
      </c>
      <c r="H30">
        <f t="shared" si="5"/>
        <v>0</v>
      </c>
      <c r="I30">
        <f t="shared" si="5"/>
        <v>0</v>
      </c>
      <c r="J30">
        <f t="shared" si="5"/>
        <v>0</v>
      </c>
      <c r="K30">
        <f t="shared" si="5"/>
        <v>0</v>
      </c>
    </row>
    <row r="31" spans="1:12">
      <c r="B31">
        <v>2.75E-2</v>
      </c>
      <c r="C31">
        <f>C24*2.75</f>
        <v>0</v>
      </c>
      <c r="D31">
        <f t="shared" si="5"/>
        <v>0</v>
      </c>
      <c r="E31">
        <f t="shared" si="5"/>
        <v>0</v>
      </c>
      <c r="F31">
        <f t="shared" si="5"/>
        <v>0</v>
      </c>
      <c r="G31">
        <f t="shared" si="5"/>
        <v>0</v>
      </c>
      <c r="H31">
        <f t="shared" si="5"/>
        <v>0</v>
      </c>
      <c r="I31">
        <f t="shared" si="5"/>
        <v>0</v>
      </c>
      <c r="J31">
        <f t="shared" si="5"/>
        <v>0</v>
      </c>
      <c r="K31">
        <f t="shared" si="5"/>
        <v>0</v>
      </c>
    </row>
    <row r="32" spans="1:12">
      <c r="B32">
        <v>0.03</v>
      </c>
      <c r="C32">
        <f>C24*3</f>
        <v>0</v>
      </c>
      <c r="D32">
        <f t="shared" si="5"/>
        <v>0</v>
      </c>
      <c r="E32">
        <f t="shared" si="5"/>
        <v>0</v>
      </c>
      <c r="F32">
        <f t="shared" si="5"/>
        <v>0</v>
      </c>
      <c r="G32">
        <f t="shared" si="5"/>
        <v>0</v>
      </c>
      <c r="H32">
        <f t="shared" si="5"/>
        <v>0</v>
      </c>
      <c r="I32">
        <f t="shared" si="5"/>
        <v>0</v>
      </c>
      <c r="J32">
        <f t="shared" si="5"/>
        <v>0</v>
      </c>
      <c r="K32">
        <f t="shared" si="5"/>
        <v>0</v>
      </c>
    </row>
    <row r="35" spans="1:12">
      <c r="A35" t="s">
        <v>238</v>
      </c>
    </row>
    <row r="36" spans="1:12">
      <c r="B36">
        <v>0.01</v>
      </c>
      <c r="C36">
        <v>0</v>
      </c>
      <c r="D36">
        <f>D$21*$C36</f>
        <v>0</v>
      </c>
      <c r="E36">
        <f>E$21*$C36</f>
        <v>0</v>
      </c>
      <c r="F36">
        <f t="shared" ref="F36:K44" si="6">F$21*$C36</f>
        <v>0</v>
      </c>
      <c r="G36">
        <f t="shared" si="6"/>
        <v>0</v>
      </c>
      <c r="H36">
        <f t="shared" si="6"/>
        <v>0</v>
      </c>
      <c r="I36">
        <f t="shared" si="6"/>
        <v>0</v>
      </c>
      <c r="J36">
        <f t="shared" si="6"/>
        <v>0</v>
      </c>
      <c r="K36">
        <f t="shared" si="6"/>
        <v>0</v>
      </c>
    </row>
    <row r="37" spans="1:12">
      <c r="B37">
        <v>1.2500000000000001E-2</v>
      </c>
      <c r="C37">
        <f>C36*1.25</f>
        <v>0</v>
      </c>
      <c r="D37">
        <f t="shared" ref="D37:E44" si="7">D$21*$C37</f>
        <v>0</v>
      </c>
      <c r="E37">
        <f t="shared" si="7"/>
        <v>0</v>
      </c>
      <c r="F37">
        <f t="shared" si="6"/>
        <v>0</v>
      </c>
      <c r="G37">
        <f t="shared" si="6"/>
        <v>0</v>
      </c>
      <c r="H37">
        <f t="shared" si="6"/>
        <v>0</v>
      </c>
      <c r="I37">
        <f t="shared" si="6"/>
        <v>0</v>
      </c>
      <c r="J37">
        <f t="shared" si="6"/>
        <v>0</v>
      </c>
      <c r="K37">
        <f t="shared" si="6"/>
        <v>0</v>
      </c>
    </row>
    <row r="38" spans="1:12">
      <c r="B38">
        <v>1.4999999999999999E-2</v>
      </c>
      <c r="C38">
        <f>C36*1.5</f>
        <v>0</v>
      </c>
      <c r="D38">
        <f t="shared" si="7"/>
        <v>0</v>
      </c>
      <c r="E38">
        <f t="shared" si="7"/>
        <v>0</v>
      </c>
      <c r="F38">
        <f t="shared" si="6"/>
        <v>0</v>
      </c>
      <c r="G38">
        <f t="shared" si="6"/>
        <v>0</v>
      </c>
      <c r="H38">
        <f t="shared" si="6"/>
        <v>0</v>
      </c>
      <c r="I38">
        <f t="shared" si="6"/>
        <v>0</v>
      </c>
      <c r="J38">
        <f t="shared" si="6"/>
        <v>0</v>
      </c>
      <c r="K38">
        <f t="shared" si="6"/>
        <v>0</v>
      </c>
    </row>
    <row r="39" spans="1:12">
      <c r="B39">
        <v>1.7500000000000002E-2</v>
      </c>
      <c r="C39">
        <f>C36*1.75</f>
        <v>0</v>
      </c>
      <c r="D39">
        <f t="shared" si="7"/>
        <v>0</v>
      </c>
      <c r="E39">
        <f t="shared" si="7"/>
        <v>0</v>
      </c>
      <c r="F39">
        <f t="shared" si="6"/>
        <v>0</v>
      </c>
      <c r="G39">
        <f t="shared" si="6"/>
        <v>0</v>
      </c>
      <c r="H39">
        <f t="shared" si="6"/>
        <v>0</v>
      </c>
      <c r="I39">
        <f t="shared" si="6"/>
        <v>0</v>
      </c>
      <c r="J39">
        <f t="shared" si="6"/>
        <v>0</v>
      </c>
      <c r="K39">
        <f t="shared" si="6"/>
        <v>0</v>
      </c>
    </row>
    <row r="40" spans="1:12">
      <c r="B40">
        <v>0.02</v>
      </c>
      <c r="C40">
        <f>C36*2</f>
        <v>0</v>
      </c>
      <c r="D40">
        <f t="shared" si="7"/>
        <v>0</v>
      </c>
      <c r="E40">
        <f t="shared" si="7"/>
        <v>0</v>
      </c>
      <c r="F40">
        <f t="shared" si="6"/>
        <v>0</v>
      </c>
      <c r="G40">
        <f t="shared" si="6"/>
        <v>0</v>
      </c>
      <c r="H40">
        <f t="shared" si="6"/>
        <v>0</v>
      </c>
      <c r="I40">
        <f t="shared" si="6"/>
        <v>0</v>
      </c>
      <c r="J40">
        <f t="shared" si="6"/>
        <v>0</v>
      </c>
      <c r="K40">
        <f t="shared" si="6"/>
        <v>0</v>
      </c>
    </row>
    <row r="41" spans="1:12">
      <c r="B41">
        <v>2.2499999999999999E-2</v>
      </c>
      <c r="C41">
        <f>C36*2.25</f>
        <v>0</v>
      </c>
      <c r="D41">
        <f t="shared" si="7"/>
        <v>0</v>
      </c>
      <c r="E41">
        <f t="shared" si="7"/>
        <v>0</v>
      </c>
      <c r="F41">
        <f t="shared" si="6"/>
        <v>0</v>
      </c>
      <c r="G41">
        <f t="shared" si="6"/>
        <v>0</v>
      </c>
      <c r="H41">
        <f t="shared" si="6"/>
        <v>0</v>
      </c>
      <c r="I41">
        <f t="shared" si="6"/>
        <v>0</v>
      </c>
      <c r="J41">
        <f t="shared" si="6"/>
        <v>0</v>
      </c>
      <c r="K41">
        <f t="shared" si="6"/>
        <v>0</v>
      </c>
    </row>
    <row r="42" spans="1:12">
      <c r="B42">
        <v>2.5000000000000001E-2</v>
      </c>
      <c r="C42">
        <f>C36*2.5</f>
        <v>0</v>
      </c>
      <c r="D42">
        <f t="shared" si="7"/>
        <v>0</v>
      </c>
      <c r="E42">
        <f t="shared" si="7"/>
        <v>0</v>
      </c>
      <c r="F42">
        <f t="shared" si="6"/>
        <v>0</v>
      </c>
      <c r="G42">
        <f t="shared" si="6"/>
        <v>0</v>
      </c>
      <c r="H42">
        <f t="shared" si="6"/>
        <v>0</v>
      </c>
      <c r="I42">
        <f t="shared" si="6"/>
        <v>0</v>
      </c>
      <c r="J42">
        <f t="shared" si="6"/>
        <v>0</v>
      </c>
      <c r="K42">
        <f t="shared" si="6"/>
        <v>0</v>
      </c>
    </row>
    <row r="43" spans="1:12">
      <c r="B43">
        <v>2.75E-2</v>
      </c>
      <c r="C43">
        <f>C36*2.75</f>
        <v>0</v>
      </c>
      <c r="D43">
        <f t="shared" si="7"/>
        <v>0</v>
      </c>
      <c r="E43">
        <f t="shared" si="7"/>
        <v>0</v>
      </c>
      <c r="F43">
        <f t="shared" si="6"/>
        <v>0</v>
      </c>
      <c r="G43">
        <f t="shared" si="6"/>
        <v>0</v>
      </c>
      <c r="H43">
        <f t="shared" si="6"/>
        <v>0</v>
      </c>
      <c r="I43">
        <f t="shared" si="6"/>
        <v>0</v>
      </c>
      <c r="J43">
        <f t="shared" si="6"/>
        <v>0</v>
      </c>
      <c r="K43">
        <f t="shared" si="6"/>
        <v>0</v>
      </c>
    </row>
    <row r="44" spans="1:12">
      <c r="B44">
        <v>0.03</v>
      </c>
      <c r="C44">
        <f>C36*3</f>
        <v>0</v>
      </c>
      <c r="D44">
        <f t="shared" si="7"/>
        <v>0</v>
      </c>
      <c r="E44">
        <f t="shared" si="7"/>
        <v>0</v>
      </c>
      <c r="F44">
        <f t="shared" si="6"/>
        <v>0</v>
      </c>
      <c r="G44">
        <f t="shared" si="6"/>
        <v>0</v>
      </c>
      <c r="H44">
        <f t="shared" si="6"/>
        <v>0</v>
      </c>
      <c r="I44">
        <f t="shared" si="6"/>
        <v>0</v>
      </c>
      <c r="J44">
        <f t="shared" si="6"/>
        <v>0</v>
      </c>
      <c r="K44">
        <f t="shared" si="6"/>
        <v>0</v>
      </c>
    </row>
    <row r="47" spans="1:12">
      <c r="D47" t="s">
        <v>69</v>
      </c>
      <c r="E47" t="s">
        <v>69</v>
      </c>
      <c r="F47" t="s">
        <v>68</v>
      </c>
      <c r="G47" t="s">
        <v>69</v>
      </c>
      <c r="H47" t="s">
        <v>69</v>
      </c>
      <c r="I47" t="s">
        <v>69</v>
      </c>
      <c r="J47" t="s">
        <v>71</v>
      </c>
      <c r="K47" t="s">
        <v>69</v>
      </c>
    </row>
    <row r="48" spans="1:12">
      <c r="A48" t="s">
        <v>66</v>
      </c>
      <c r="D48" s="45" t="s">
        <v>22</v>
      </c>
      <c r="E48" s="45" t="s">
        <v>286</v>
      </c>
      <c r="F48" s="45" t="s">
        <v>242</v>
      </c>
      <c r="G48" s="45" t="s">
        <v>278</v>
      </c>
      <c r="H48" s="45" t="s">
        <v>279</v>
      </c>
      <c r="I48" s="45" t="s">
        <v>14</v>
      </c>
      <c r="J48" s="45" t="s">
        <v>15</v>
      </c>
      <c r="K48" s="45" t="s">
        <v>16</v>
      </c>
      <c r="L48" s="45" t="s">
        <v>38</v>
      </c>
    </row>
    <row r="50" spans="1:12">
      <c r="A50" t="s">
        <v>67</v>
      </c>
      <c r="D50" t="e">
        <f>#REF!</f>
        <v>#REF!</v>
      </c>
      <c r="E50" t="e">
        <f>#REF!</f>
        <v>#REF!</v>
      </c>
      <c r="F50" t="e">
        <f>#REF!</f>
        <v>#REF!</v>
      </c>
      <c r="G50" t="e">
        <f>#REF!</f>
        <v>#REF!</v>
      </c>
      <c r="H50" t="e">
        <f>#REF!</f>
        <v>#REF!</v>
      </c>
      <c r="I50" t="e">
        <f>H50</f>
        <v>#REF!</v>
      </c>
      <c r="J50" t="e">
        <f>I50</f>
        <v>#REF!</v>
      </c>
      <c r="K50" t="e">
        <f>J50</f>
        <v>#REF!</v>
      </c>
    </row>
    <row r="52" spans="1:12">
      <c r="A52" t="s">
        <v>70</v>
      </c>
      <c r="D52" s="45" t="s">
        <v>22</v>
      </c>
      <c r="E52" s="45" t="s">
        <v>286</v>
      </c>
      <c r="F52" s="45" t="s">
        <v>242</v>
      </c>
      <c r="G52" s="45" t="s">
        <v>278</v>
      </c>
      <c r="H52" s="45" t="s">
        <v>279</v>
      </c>
      <c r="I52" s="45" t="s">
        <v>14</v>
      </c>
      <c r="J52" s="45" t="s">
        <v>15</v>
      </c>
      <c r="K52" s="45" t="s">
        <v>16</v>
      </c>
      <c r="L52" s="45" t="s">
        <v>38</v>
      </c>
    </row>
    <row r="53" spans="1:12">
      <c r="A53" t="s">
        <v>169</v>
      </c>
      <c r="D53" s="127">
        <f t="shared" ref="D53:K54" si="8">D5</f>
        <v>0</v>
      </c>
      <c r="E53" s="127">
        <f t="shared" si="8"/>
        <v>0</v>
      </c>
      <c r="F53" s="127">
        <f t="shared" si="8"/>
        <v>4.3730829801646798E-3</v>
      </c>
      <c r="G53" s="127">
        <f t="shared" si="8"/>
        <v>4.3730829801646798E-3</v>
      </c>
      <c r="H53" s="127">
        <f t="shared" si="8"/>
        <v>4.3730829801646798E-3</v>
      </c>
      <c r="I53" s="127">
        <f t="shared" si="8"/>
        <v>4.3730829801646798E-3</v>
      </c>
      <c r="J53" s="127">
        <f t="shared" si="8"/>
        <v>4.3730829801646798E-3</v>
      </c>
      <c r="K53" s="127">
        <f t="shared" si="8"/>
        <v>4.3730829801646798E-3</v>
      </c>
      <c r="L53" s="127"/>
    </row>
    <row r="54" spans="1:12">
      <c r="A54" t="s">
        <v>170</v>
      </c>
      <c r="D54" s="127">
        <f t="shared" si="8"/>
        <v>0</v>
      </c>
      <c r="E54" s="127">
        <f t="shared" si="8"/>
        <v>0</v>
      </c>
      <c r="F54" s="127">
        <f t="shared" si="8"/>
        <v>0</v>
      </c>
      <c r="G54" s="127">
        <f t="shared" si="8"/>
        <v>0</v>
      </c>
      <c r="H54" s="127">
        <f t="shared" si="8"/>
        <v>0</v>
      </c>
      <c r="I54" s="127">
        <f t="shared" si="8"/>
        <v>0</v>
      </c>
      <c r="J54" s="127">
        <f t="shared" si="8"/>
        <v>0</v>
      </c>
      <c r="K54" s="127">
        <f t="shared" si="8"/>
        <v>0</v>
      </c>
      <c r="L54" s="127"/>
    </row>
    <row r="55" spans="1:12">
      <c r="A55" t="s">
        <v>171</v>
      </c>
      <c r="D55" s="127"/>
      <c r="E55" s="127"/>
      <c r="F55" s="127"/>
      <c r="G55" s="127"/>
      <c r="H55" s="127"/>
      <c r="I55" s="127"/>
      <c r="J55" s="127"/>
      <c r="K55" s="127"/>
      <c r="L55" s="127"/>
    </row>
    <row r="56" spans="1:12">
      <c r="A56" t="s">
        <v>175</v>
      </c>
      <c r="C56" t="s">
        <v>296</v>
      </c>
      <c r="D56" s="127">
        <f t="shared" ref="D56:K56" si="9">SUM(D53:D54)</f>
        <v>0</v>
      </c>
      <c r="E56" s="127">
        <f t="shared" si="9"/>
        <v>0</v>
      </c>
      <c r="F56" s="127">
        <f t="shared" si="9"/>
        <v>4.3730829801646798E-3</v>
      </c>
      <c r="G56" s="127">
        <f t="shared" si="9"/>
        <v>4.3730829801646798E-3</v>
      </c>
      <c r="H56" s="127">
        <f t="shared" si="9"/>
        <v>4.3730829801646798E-3</v>
      </c>
      <c r="I56" s="127">
        <f t="shared" si="9"/>
        <v>4.3730829801646798E-3</v>
      </c>
      <c r="J56" s="127">
        <f t="shared" si="9"/>
        <v>4.3730829801646798E-3</v>
      </c>
      <c r="K56" s="127">
        <f t="shared" si="9"/>
        <v>4.3730829801646798E-3</v>
      </c>
      <c r="L56" s="127"/>
    </row>
    <row r="57" spans="1:12">
      <c r="A57" t="s">
        <v>20</v>
      </c>
      <c r="D57" t="e">
        <f>D50-D56</f>
        <v>#REF!</v>
      </c>
      <c r="E57" t="e">
        <f>E50-E56</f>
        <v>#REF!</v>
      </c>
      <c r="F57" t="e">
        <f>F50-F56</f>
        <v>#REF!</v>
      </c>
      <c r="G57" t="e">
        <f>G50-G56</f>
        <v>#REF!</v>
      </c>
      <c r="H57" t="e">
        <f>H50-H56</f>
        <v>#REF!</v>
      </c>
      <c r="I57" t="s">
        <v>226</v>
      </c>
      <c r="J57" t="s">
        <v>226</v>
      </c>
      <c r="K57" t="s">
        <v>226</v>
      </c>
    </row>
    <row r="59" spans="1:12" ht="11.1" customHeight="1"/>
    <row r="60" spans="1:12" hidden="1">
      <c r="A60" t="s">
        <v>32</v>
      </c>
      <c r="D60" t="s">
        <v>22</v>
      </c>
      <c r="E60" t="s">
        <v>286</v>
      </c>
      <c r="F60" t="s">
        <v>242</v>
      </c>
      <c r="G60" t="s">
        <v>278</v>
      </c>
      <c r="H60" t="s">
        <v>279</v>
      </c>
      <c r="I60" t="s">
        <v>14</v>
      </c>
      <c r="J60" t="s">
        <v>15</v>
      </c>
      <c r="K60" t="s">
        <v>16</v>
      </c>
    </row>
    <row r="61" spans="1:12" hidden="1">
      <c r="A61" t="s">
        <v>77</v>
      </c>
      <c r="C61" t="s">
        <v>296</v>
      </c>
      <c r="D61" t="e">
        <f>D50</f>
        <v>#REF!</v>
      </c>
      <c r="E61">
        <v>414000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</row>
    <row r="62" spans="1:12" hidden="1">
      <c r="A62" t="s">
        <v>35</v>
      </c>
      <c r="C62" t="s">
        <v>293</v>
      </c>
      <c r="E62">
        <v>1220000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</row>
    <row r="63" spans="1:12" hidden="1">
      <c r="A63" t="s">
        <v>13</v>
      </c>
      <c r="C63" t="s">
        <v>266</v>
      </c>
      <c r="E63">
        <f>E26</f>
        <v>0</v>
      </c>
      <c r="F63">
        <f t="shared" ref="F63:K63" si="10">F26</f>
        <v>0</v>
      </c>
      <c r="G63">
        <f t="shared" si="10"/>
        <v>0</v>
      </c>
      <c r="H63">
        <f t="shared" si="10"/>
        <v>0</v>
      </c>
      <c r="I63">
        <f t="shared" si="10"/>
        <v>0</v>
      </c>
      <c r="J63">
        <f t="shared" si="10"/>
        <v>0</v>
      </c>
      <c r="K63">
        <f t="shared" si="10"/>
        <v>0</v>
      </c>
    </row>
    <row r="64" spans="1:12" hidden="1">
      <c r="A64" t="s">
        <v>294</v>
      </c>
    </row>
    <row r="65" spans="1:11" hidden="1">
      <c r="A65" t="s">
        <v>295</v>
      </c>
    </row>
    <row r="66" spans="1:11" hidden="1">
      <c r="A66" t="s">
        <v>307</v>
      </c>
      <c r="D66">
        <v>0</v>
      </c>
      <c r="E66">
        <v>1000000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</row>
    <row r="67" spans="1:11" hidden="1"/>
    <row r="68" spans="1:11" hidden="1">
      <c r="A68" t="s">
        <v>297</v>
      </c>
      <c r="D68" t="e">
        <f>SUM(D61:D66)-D39</f>
        <v>#REF!</v>
      </c>
      <c r="E68" t="e">
        <f t="shared" ref="E68:K68" si="11">SUM(E61:E66)-E50</f>
        <v>#REF!</v>
      </c>
      <c r="F68" t="e">
        <f t="shared" si="11"/>
        <v>#REF!</v>
      </c>
      <c r="G68" t="e">
        <f t="shared" si="11"/>
        <v>#REF!</v>
      </c>
      <c r="H68" t="e">
        <f t="shared" si="11"/>
        <v>#REF!</v>
      </c>
      <c r="I68" t="e">
        <f t="shared" si="11"/>
        <v>#REF!</v>
      </c>
      <c r="J68" t="e">
        <f t="shared" si="11"/>
        <v>#REF!</v>
      </c>
      <c r="K68" t="e">
        <f t="shared" si="11"/>
        <v>#REF!</v>
      </c>
    </row>
    <row r="69" spans="1:11" hidden="1">
      <c r="A69" t="s">
        <v>298</v>
      </c>
      <c r="D69" t="e">
        <f>D68</f>
        <v>#REF!</v>
      </c>
      <c r="E69" t="e">
        <f>E68</f>
        <v>#REF!</v>
      </c>
      <c r="F69" t="e">
        <f t="shared" ref="F69:K69" si="12">F68+E69</f>
        <v>#REF!</v>
      </c>
      <c r="G69" t="e">
        <f t="shared" si="12"/>
        <v>#REF!</v>
      </c>
      <c r="H69" t="e">
        <f t="shared" si="12"/>
        <v>#REF!</v>
      </c>
      <c r="I69" t="e">
        <f t="shared" si="12"/>
        <v>#REF!</v>
      </c>
      <c r="J69" t="e">
        <f t="shared" si="12"/>
        <v>#REF!</v>
      </c>
      <c r="K69" t="e">
        <f t="shared" si="12"/>
        <v>#REF!</v>
      </c>
    </row>
    <row r="70" spans="1:11" hidden="1"/>
    <row r="71" spans="1:11" hidden="1"/>
    <row r="72" spans="1:11" hidden="1">
      <c r="A72" t="s">
        <v>3</v>
      </c>
      <c r="D72" t="s">
        <v>22</v>
      </c>
      <c r="E72" t="s">
        <v>286</v>
      </c>
      <c r="F72" t="s">
        <v>242</v>
      </c>
      <c r="G72" t="s">
        <v>278</v>
      </c>
      <c r="H72" t="s">
        <v>279</v>
      </c>
      <c r="I72" t="s">
        <v>14</v>
      </c>
      <c r="J72" t="s">
        <v>15</v>
      </c>
      <c r="K72" t="s">
        <v>16</v>
      </c>
    </row>
    <row r="73" spans="1:11" hidden="1">
      <c r="A73" t="s">
        <v>43</v>
      </c>
      <c r="C73" t="s">
        <v>296</v>
      </c>
      <c r="D73" t="e">
        <f>D50</f>
        <v>#REF!</v>
      </c>
      <c r="E73">
        <v>414000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</row>
    <row r="74" spans="1:11" hidden="1">
      <c r="A74" t="s">
        <v>33</v>
      </c>
      <c r="C74" t="s">
        <v>293</v>
      </c>
      <c r="E74">
        <v>1220000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</row>
    <row r="75" spans="1:11" hidden="1">
      <c r="A75" t="s">
        <v>13</v>
      </c>
      <c r="C75" t="s">
        <v>266</v>
      </c>
      <c r="E75">
        <f>E27</f>
        <v>0</v>
      </c>
      <c r="F75">
        <f t="shared" ref="F75:K75" si="13">F27</f>
        <v>0</v>
      </c>
      <c r="G75">
        <f t="shared" si="13"/>
        <v>0</v>
      </c>
      <c r="H75">
        <f t="shared" si="13"/>
        <v>0</v>
      </c>
      <c r="I75">
        <f t="shared" si="13"/>
        <v>0</v>
      </c>
      <c r="J75">
        <f t="shared" si="13"/>
        <v>0</v>
      </c>
      <c r="K75">
        <f t="shared" si="13"/>
        <v>0</v>
      </c>
    </row>
    <row r="76" spans="1:11" hidden="1">
      <c r="A76" t="s">
        <v>294</v>
      </c>
    </row>
    <row r="77" spans="1:11" hidden="1">
      <c r="A77" t="s">
        <v>295</v>
      </c>
    </row>
    <row r="78" spans="1:11" hidden="1">
      <c r="A78" t="s">
        <v>34</v>
      </c>
      <c r="D78">
        <v>0</v>
      </c>
      <c r="E78">
        <v>1000000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</row>
    <row r="79" spans="1:11" hidden="1"/>
    <row r="80" spans="1:11" hidden="1">
      <c r="A80" t="s">
        <v>297</v>
      </c>
      <c r="D80" t="e">
        <f t="shared" ref="D80:K80" si="14">SUM(D73:D78)-D50</f>
        <v>#REF!</v>
      </c>
      <c r="E80" t="e">
        <f t="shared" si="14"/>
        <v>#REF!</v>
      </c>
      <c r="F80" t="e">
        <f t="shared" si="14"/>
        <v>#REF!</v>
      </c>
      <c r="G80" t="e">
        <f t="shared" si="14"/>
        <v>#REF!</v>
      </c>
      <c r="H80" t="e">
        <f t="shared" si="14"/>
        <v>#REF!</v>
      </c>
      <c r="I80" t="e">
        <f t="shared" si="14"/>
        <v>#REF!</v>
      </c>
      <c r="J80" t="e">
        <f t="shared" si="14"/>
        <v>#REF!</v>
      </c>
      <c r="K80" t="e">
        <f t="shared" si="14"/>
        <v>#REF!</v>
      </c>
    </row>
    <row r="81" spans="1:11" hidden="1">
      <c r="A81" t="s">
        <v>298</v>
      </c>
      <c r="D81" t="e">
        <f>D80</f>
        <v>#REF!</v>
      </c>
      <c r="E81" t="e">
        <f>E80</f>
        <v>#REF!</v>
      </c>
      <c r="F81" t="e">
        <f t="shared" ref="F81:K81" si="15">F80+E81</f>
        <v>#REF!</v>
      </c>
      <c r="G81" t="e">
        <f t="shared" si="15"/>
        <v>#REF!</v>
      </c>
      <c r="H81" t="e">
        <f t="shared" si="15"/>
        <v>#REF!</v>
      </c>
      <c r="I81" t="e">
        <f t="shared" si="15"/>
        <v>#REF!</v>
      </c>
      <c r="J81" t="e">
        <f t="shared" si="15"/>
        <v>#REF!</v>
      </c>
      <c r="K81" t="e">
        <f t="shared" si="15"/>
        <v>#REF!</v>
      </c>
    </row>
    <row r="82" spans="1:11" hidden="1"/>
    <row r="83" spans="1:11" hidden="1"/>
    <row r="84" spans="1:11" hidden="1">
      <c r="A84" t="s">
        <v>283</v>
      </c>
      <c r="D84" t="s">
        <v>22</v>
      </c>
      <c r="E84" t="s">
        <v>286</v>
      </c>
      <c r="F84" t="s">
        <v>242</v>
      </c>
      <c r="G84" t="s">
        <v>278</v>
      </c>
      <c r="H84" t="s">
        <v>279</v>
      </c>
      <c r="I84" t="s">
        <v>14</v>
      </c>
      <c r="J84" t="s">
        <v>15</v>
      </c>
      <c r="K84" t="s">
        <v>16</v>
      </c>
    </row>
    <row r="85" spans="1:11" hidden="1">
      <c r="A85" t="s">
        <v>72</v>
      </c>
      <c r="C85" t="s">
        <v>296</v>
      </c>
      <c r="D85">
        <f>D9</f>
        <v>0</v>
      </c>
      <c r="E85">
        <v>414000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</row>
    <row r="86" spans="1:11" hidden="1">
      <c r="A86" t="s">
        <v>12</v>
      </c>
      <c r="C86" t="s">
        <v>293</v>
      </c>
      <c r="E86">
        <v>1625000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</row>
    <row r="87" spans="1:11" hidden="1">
      <c r="A87" t="s">
        <v>13</v>
      </c>
      <c r="C87" t="s">
        <v>266</v>
      </c>
      <c r="E87">
        <f>E28</f>
        <v>0</v>
      </c>
      <c r="F87">
        <f t="shared" ref="F87:K87" si="16">F28</f>
        <v>0</v>
      </c>
      <c r="G87">
        <f t="shared" si="16"/>
        <v>0</v>
      </c>
      <c r="H87">
        <f t="shared" si="16"/>
        <v>0</v>
      </c>
      <c r="I87">
        <f t="shared" si="16"/>
        <v>0</v>
      </c>
      <c r="J87">
        <f t="shared" si="16"/>
        <v>0</v>
      </c>
      <c r="K87">
        <f t="shared" si="16"/>
        <v>0</v>
      </c>
    </row>
    <row r="88" spans="1:11" ht="8.1" hidden="1" customHeight="1">
      <c r="A88" t="s">
        <v>294</v>
      </c>
    </row>
    <row r="89" spans="1:11" hidden="1">
      <c r="A89" t="s">
        <v>295</v>
      </c>
    </row>
    <row r="90" spans="1:11" hidden="1">
      <c r="A90" t="s">
        <v>299</v>
      </c>
      <c r="D90">
        <v>0</v>
      </c>
      <c r="E90">
        <v>500000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</row>
    <row r="91" spans="1:11" hidden="1"/>
    <row r="92" spans="1:11" hidden="1">
      <c r="A92" t="s">
        <v>297</v>
      </c>
      <c r="D92" t="e">
        <f t="shared" ref="D92:K92" si="17">SUM(D85:D90)-D50</f>
        <v>#REF!</v>
      </c>
      <c r="E92" t="e">
        <f t="shared" si="17"/>
        <v>#REF!</v>
      </c>
      <c r="F92" t="e">
        <f t="shared" si="17"/>
        <v>#REF!</v>
      </c>
      <c r="G92" t="e">
        <f t="shared" si="17"/>
        <v>#REF!</v>
      </c>
      <c r="H92" t="e">
        <f t="shared" si="17"/>
        <v>#REF!</v>
      </c>
      <c r="I92" t="e">
        <f t="shared" si="17"/>
        <v>#REF!</v>
      </c>
      <c r="J92" t="e">
        <f t="shared" si="17"/>
        <v>#REF!</v>
      </c>
      <c r="K92" t="e">
        <f t="shared" si="17"/>
        <v>#REF!</v>
      </c>
    </row>
    <row r="93" spans="1:11" hidden="1">
      <c r="A93" t="s">
        <v>298</v>
      </c>
      <c r="D93" t="e">
        <f>D92</f>
        <v>#REF!</v>
      </c>
      <c r="E93" t="e">
        <f>E92</f>
        <v>#REF!</v>
      </c>
      <c r="F93" t="e">
        <f t="shared" ref="F93:K93" si="18">F92+E93</f>
        <v>#REF!</v>
      </c>
      <c r="G93" t="e">
        <f t="shared" si="18"/>
        <v>#REF!</v>
      </c>
      <c r="H93" t="e">
        <f t="shared" si="18"/>
        <v>#REF!</v>
      </c>
      <c r="I93" t="e">
        <f t="shared" si="18"/>
        <v>#REF!</v>
      </c>
      <c r="J93" t="e">
        <f t="shared" si="18"/>
        <v>#REF!</v>
      </c>
      <c r="K93" t="e">
        <f t="shared" si="18"/>
        <v>#REF!</v>
      </c>
    </row>
    <row r="94" spans="1:11" hidden="1"/>
    <row r="95" spans="1:11" hidden="1"/>
    <row r="96" spans="1:11" hidden="1">
      <c r="A96" t="s">
        <v>284</v>
      </c>
      <c r="D96" t="s">
        <v>22</v>
      </c>
      <c r="E96" t="s">
        <v>286</v>
      </c>
      <c r="F96" t="s">
        <v>242</v>
      </c>
      <c r="G96" t="s">
        <v>278</v>
      </c>
      <c r="H96" t="s">
        <v>279</v>
      </c>
      <c r="I96" t="s">
        <v>14</v>
      </c>
      <c r="J96" t="s">
        <v>15</v>
      </c>
      <c r="K96" t="s">
        <v>16</v>
      </c>
    </row>
    <row r="97" spans="1:11" hidden="1">
      <c r="A97" t="s">
        <v>26</v>
      </c>
      <c r="C97" t="s">
        <v>296</v>
      </c>
      <c r="D97">
        <v>414000</v>
      </c>
      <c r="E97">
        <v>414000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</row>
    <row r="98" spans="1:11" hidden="1">
      <c r="A98" t="s">
        <v>17</v>
      </c>
      <c r="C98" t="s">
        <v>293</v>
      </c>
      <c r="E98">
        <v>1675000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</row>
    <row r="99" spans="1:11" hidden="1">
      <c r="A99" t="s">
        <v>13</v>
      </c>
      <c r="C99" t="s">
        <v>266</v>
      </c>
      <c r="E99">
        <f>E29</f>
        <v>0</v>
      </c>
      <c r="F99">
        <f t="shared" ref="F99:K99" si="19">F29</f>
        <v>0</v>
      </c>
      <c r="G99">
        <f t="shared" si="19"/>
        <v>0</v>
      </c>
      <c r="H99">
        <f t="shared" si="19"/>
        <v>0</v>
      </c>
      <c r="I99">
        <f t="shared" si="19"/>
        <v>0</v>
      </c>
      <c r="J99">
        <f t="shared" si="19"/>
        <v>0</v>
      </c>
      <c r="K99">
        <f t="shared" si="19"/>
        <v>0</v>
      </c>
    </row>
    <row r="100" spans="1:11" hidden="1">
      <c r="A100" t="s">
        <v>294</v>
      </c>
    </row>
    <row r="101" spans="1:11" hidden="1">
      <c r="A101" t="s">
        <v>295</v>
      </c>
    </row>
    <row r="102" spans="1:11" hidden="1">
      <c r="A102" t="s">
        <v>18</v>
      </c>
      <c r="D102">
        <v>0</v>
      </c>
      <c r="E102">
        <v>400000</v>
      </c>
      <c r="F102">
        <v>0</v>
      </c>
      <c r="G102">
        <v>-400000</v>
      </c>
      <c r="H102">
        <v>0</v>
      </c>
      <c r="I102">
        <v>0</v>
      </c>
      <c r="J102">
        <v>0</v>
      </c>
      <c r="K102">
        <v>0</v>
      </c>
    </row>
    <row r="103" spans="1:11" hidden="1"/>
    <row r="104" spans="1:11" hidden="1">
      <c r="A104" t="s">
        <v>297</v>
      </c>
      <c r="D104" t="e">
        <f t="shared" ref="D104:K104" si="20">SUM(D97:D102)-D50</f>
        <v>#REF!</v>
      </c>
      <c r="E104" t="e">
        <f t="shared" si="20"/>
        <v>#REF!</v>
      </c>
      <c r="F104" t="e">
        <f t="shared" si="20"/>
        <v>#REF!</v>
      </c>
      <c r="G104" t="e">
        <f t="shared" si="20"/>
        <v>#REF!</v>
      </c>
      <c r="H104" t="e">
        <f t="shared" si="20"/>
        <v>#REF!</v>
      </c>
      <c r="I104" t="e">
        <f t="shared" si="20"/>
        <v>#REF!</v>
      </c>
      <c r="J104" t="e">
        <f t="shared" si="20"/>
        <v>#REF!</v>
      </c>
      <c r="K104" t="e">
        <f t="shared" si="20"/>
        <v>#REF!</v>
      </c>
    </row>
    <row r="105" spans="1:11" hidden="1">
      <c r="A105" t="s">
        <v>298</v>
      </c>
      <c r="D105" t="e">
        <f>D104</f>
        <v>#REF!</v>
      </c>
      <c r="E105" t="e">
        <f>E104</f>
        <v>#REF!</v>
      </c>
      <c r="F105" t="e">
        <f t="shared" ref="F105:K105" si="21">F104+E105</f>
        <v>#REF!</v>
      </c>
      <c r="G105" t="e">
        <f t="shared" si="21"/>
        <v>#REF!</v>
      </c>
      <c r="H105" t="e">
        <f t="shared" si="21"/>
        <v>#REF!</v>
      </c>
      <c r="I105" t="e">
        <f t="shared" si="21"/>
        <v>#REF!</v>
      </c>
      <c r="J105" t="e">
        <f t="shared" si="21"/>
        <v>#REF!</v>
      </c>
      <c r="K105" t="e">
        <f t="shared" si="21"/>
        <v>#REF!</v>
      </c>
    </row>
    <row r="106" spans="1:11" hidden="1"/>
    <row r="107" spans="1:11" hidden="1"/>
    <row r="108" spans="1:11" hidden="1">
      <c r="A108" t="s">
        <v>2</v>
      </c>
      <c r="D108" t="s">
        <v>22</v>
      </c>
      <c r="E108" t="s">
        <v>286</v>
      </c>
      <c r="F108" t="s">
        <v>242</v>
      </c>
      <c r="G108" t="s">
        <v>278</v>
      </c>
      <c r="H108" t="s">
        <v>279</v>
      </c>
      <c r="I108" t="s">
        <v>14</v>
      </c>
      <c r="J108" t="s">
        <v>15</v>
      </c>
      <c r="K108" t="s">
        <v>16</v>
      </c>
    </row>
    <row r="109" spans="1:11" hidden="1">
      <c r="A109" t="s">
        <v>73</v>
      </c>
      <c r="C109" t="s">
        <v>296</v>
      </c>
      <c r="D109">
        <v>414000</v>
      </c>
      <c r="E109">
        <v>414000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</row>
    <row r="110" spans="1:11" hidden="1">
      <c r="A110" t="s">
        <v>17</v>
      </c>
      <c r="C110" t="s">
        <v>293</v>
      </c>
      <c r="E110">
        <v>1092000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</row>
    <row r="111" spans="1:11" hidden="1">
      <c r="A111" t="s">
        <v>13</v>
      </c>
      <c r="C111" t="s">
        <v>266</v>
      </c>
      <c r="E111">
        <f>E40</f>
        <v>0</v>
      </c>
      <c r="F111">
        <f t="shared" ref="F111:K111" si="22">F40</f>
        <v>0</v>
      </c>
      <c r="G111">
        <f t="shared" si="22"/>
        <v>0</v>
      </c>
      <c r="H111">
        <f t="shared" si="22"/>
        <v>0</v>
      </c>
      <c r="I111">
        <f t="shared" si="22"/>
        <v>0</v>
      </c>
      <c r="J111">
        <f t="shared" si="22"/>
        <v>0</v>
      </c>
      <c r="K111">
        <f t="shared" si="22"/>
        <v>0</v>
      </c>
    </row>
    <row r="112" spans="1:11" ht="0.9" hidden="1" customHeight="1">
      <c r="A112" t="s">
        <v>294</v>
      </c>
    </row>
    <row r="113" spans="1:11" hidden="1">
      <c r="A113" t="s">
        <v>295</v>
      </c>
    </row>
    <row r="114" spans="1:11" hidden="1">
      <c r="A114" t="s">
        <v>18</v>
      </c>
      <c r="D114">
        <v>0</v>
      </c>
      <c r="E114">
        <v>800000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</row>
    <row r="115" spans="1:11" hidden="1"/>
    <row r="116" spans="1:11" hidden="1">
      <c r="A116" t="s">
        <v>297</v>
      </c>
      <c r="D116" t="e">
        <f t="shared" ref="D116:K116" si="23">SUM(D109:D114)-D50</f>
        <v>#REF!</v>
      </c>
      <c r="E116" t="e">
        <f t="shared" si="23"/>
        <v>#REF!</v>
      </c>
      <c r="F116" t="e">
        <f t="shared" si="23"/>
        <v>#REF!</v>
      </c>
      <c r="G116" t="e">
        <f t="shared" si="23"/>
        <v>#REF!</v>
      </c>
      <c r="H116" t="e">
        <f t="shared" si="23"/>
        <v>#REF!</v>
      </c>
      <c r="I116" t="e">
        <f t="shared" si="23"/>
        <v>#REF!</v>
      </c>
      <c r="J116" t="e">
        <f t="shared" si="23"/>
        <v>#REF!</v>
      </c>
      <c r="K116" t="e">
        <f t="shared" si="23"/>
        <v>#REF!</v>
      </c>
    </row>
    <row r="117" spans="1:11" hidden="1">
      <c r="A117" t="s">
        <v>298</v>
      </c>
      <c r="D117" t="e">
        <f>D116</f>
        <v>#REF!</v>
      </c>
      <c r="E117" t="e">
        <f>E116</f>
        <v>#REF!</v>
      </c>
      <c r="F117" t="e">
        <f t="shared" ref="F117:K117" si="24">F116+E117</f>
        <v>#REF!</v>
      </c>
      <c r="G117" t="e">
        <f t="shared" si="24"/>
        <v>#REF!</v>
      </c>
      <c r="H117" t="e">
        <f t="shared" si="24"/>
        <v>#REF!</v>
      </c>
      <c r="I117" t="e">
        <f t="shared" si="24"/>
        <v>#REF!</v>
      </c>
      <c r="J117" t="e">
        <f t="shared" si="24"/>
        <v>#REF!</v>
      </c>
      <c r="K117" t="e">
        <f t="shared" si="24"/>
        <v>#REF!</v>
      </c>
    </row>
    <row r="118" spans="1:11" hidden="1"/>
    <row r="119" spans="1:11" hidden="1"/>
    <row r="120" spans="1:11" hidden="1"/>
    <row r="121" spans="1:11" hidden="1"/>
    <row r="122" spans="1:11" hidden="1"/>
    <row r="123" spans="1:11" hidden="1"/>
    <row r="124" spans="1:11" hidden="1"/>
    <row r="125" spans="1:11" hidden="1"/>
    <row r="126" spans="1:11" hidden="1"/>
    <row r="127" spans="1:11" hidden="1"/>
    <row r="128" spans="1:11" hidden="1"/>
    <row r="129" spans="1:3" hidden="1"/>
    <row r="130" spans="1:3" hidden="1">
      <c r="A130" t="s">
        <v>79</v>
      </c>
    </row>
    <row r="131" spans="1:3" hidden="1">
      <c r="B131" t="s">
        <v>54</v>
      </c>
      <c r="C131" t="s">
        <v>65</v>
      </c>
    </row>
    <row r="132" spans="1:3" hidden="1">
      <c r="A132" t="s">
        <v>80</v>
      </c>
      <c r="B132">
        <v>40.909999999999997</v>
      </c>
      <c r="C132">
        <f>(((35000*B132)/1000)*0.875)</f>
        <v>1252.8687499999996</v>
      </c>
    </row>
    <row r="133" spans="1:3" hidden="1"/>
    <row r="134" spans="1:3" hidden="1">
      <c r="A134" t="s">
        <v>53</v>
      </c>
      <c r="B134">
        <v>54.86</v>
      </c>
      <c r="C134">
        <f>(((35000*B134)/1000)*0.875)</f>
        <v>1680.0874999999999</v>
      </c>
    </row>
    <row r="135" spans="1:3" hidden="1"/>
    <row r="136" spans="1:3" hidden="1">
      <c r="A136" t="s">
        <v>31</v>
      </c>
      <c r="B136">
        <v>14.55</v>
      </c>
      <c r="C136">
        <f>(((35000*B136)/1000)*0.875)</f>
        <v>445.59375</v>
      </c>
    </row>
    <row r="137" spans="1:3" hidden="1"/>
    <row r="138" spans="1:3" hidden="1">
      <c r="A138" t="s">
        <v>55</v>
      </c>
      <c r="B138">
        <f>B136+13.95</f>
        <v>28.5</v>
      </c>
      <c r="C138">
        <f>(((35000*B138)/1000)*0.875)</f>
        <v>872.8125</v>
      </c>
    </row>
    <row r="139" spans="1:3" hidden="1"/>
    <row r="140" spans="1:3" hidden="1"/>
    <row r="141" spans="1:3" hidden="1">
      <c r="A141" t="s">
        <v>27</v>
      </c>
    </row>
    <row r="142" spans="1:3" hidden="1"/>
    <row r="143" spans="1:3" hidden="1">
      <c r="A143" t="s">
        <v>28</v>
      </c>
      <c r="B143">
        <v>58754</v>
      </c>
    </row>
    <row r="144" spans="1:3" hidden="1"/>
    <row r="145" spans="1:2" hidden="1">
      <c r="A145" t="s">
        <v>29</v>
      </c>
      <c r="B145">
        <f>B143*0.02</f>
        <v>1175.08</v>
      </c>
    </row>
    <row r="146" spans="1:2" hidden="1"/>
    <row r="147" spans="1:2" hidden="1">
      <c r="A147" t="s">
        <v>30</v>
      </c>
      <c r="B147">
        <v>29815</v>
      </c>
    </row>
    <row r="148" spans="1:2" hidden="1"/>
    <row r="149" spans="1:2" hidden="1">
      <c r="A149" t="s">
        <v>29</v>
      </c>
      <c r="B149">
        <f>B147*0.02</f>
        <v>596.30000000000007</v>
      </c>
    </row>
    <row r="150" spans="1:2" hidden="1"/>
    <row r="152" spans="1:2">
      <c r="A152" t="s">
        <v>0</v>
      </c>
    </row>
    <row r="153" spans="1:2">
      <c r="A153" t="s">
        <v>1</v>
      </c>
    </row>
  </sheetData>
  <phoneticPr fontId="0" type="noConversion"/>
  <pageMargins left="0.75" right="0.5" top="0.75" bottom="0.25" header="0.5" footer="0"/>
  <pageSetup scale="66" orientation="portrait" horizontalDpi="4294967292" verticalDpi="4294967292" r:id="rId1"/>
  <headerFooter alignWithMargins="0">
    <oddFooter>&amp;A&amp;RPage &amp;P</oddFooter>
  </headerFooter>
  <rowBreaks count="2" manualBreakCount="2">
    <brk id="45" max="16383" man="1"/>
    <brk id="106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B230"/>
  <sheetViews>
    <sheetView workbookViewId="0"/>
  </sheetViews>
  <sheetFormatPr defaultColWidth="9.109375" defaultRowHeight="13.2"/>
  <cols>
    <col min="1" max="1" width="5.6640625" style="167" customWidth="1"/>
    <col min="2" max="2" width="28.5546875" style="167" customWidth="1"/>
    <col min="3" max="3" width="13.88671875" style="167" bestFit="1" customWidth="1"/>
    <col min="4" max="4" width="11.6640625" style="167" bestFit="1" customWidth="1"/>
    <col min="5" max="15" width="12.6640625" style="167" customWidth="1"/>
    <col min="16" max="16" width="2.109375" style="167" customWidth="1"/>
    <col min="17" max="17" width="11.33203125" style="167" bestFit="1" customWidth="1"/>
    <col min="18" max="16384" width="9.109375" style="167"/>
  </cols>
  <sheetData>
    <row r="1" spans="1:19">
      <c r="A1" s="167" t="s">
        <v>457</v>
      </c>
      <c r="C1" s="167" t="s">
        <v>470</v>
      </c>
      <c r="D1" s="167" t="s">
        <v>458</v>
      </c>
      <c r="E1" s="167" t="s">
        <v>459</v>
      </c>
      <c r="F1" s="167" t="s">
        <v>460</v>
      </c>
      <c r="G1" s="167" t="s">
        <v>461</v>
      </c>
      <c r="H1" s="167" t="s">
        <v>462</v>
      </c>
      <c r="I1" s="167" t="s">
        <v>463</v>
      </c>
      <c r="J1" s="167" t="s">
        <v>464</v>
      </c>
      <c r="K1" s="167" t="s">
        <v>466</v>
      </c>
      <c r="L1" s="167" t="s">
        <v>465</v>
      </c>
      <c r="M1" s="167" t="s">
        <v>467</v>
      </c>
      <c r="N1" s="167" t="s">
        <v>468</v>
      </c>
      <c r="O1" s="167" t="s">
        <v>469</v>
      </c>
      <c r="Q1" s="167" t="s">
        <v>471</v>
      </c>
    </row>
    <row r="2" spans="1:19">
      <c r="A2" s="168">
        <v>1.01</v>
      </c>
      <c r="B2" s="171" t="str">
        <f>+Forecast!C12</f>
        <v>General Property Tax (Real Estate)</v>
      </c>
      <c r="C2" s="604">
        <v>10879809</v>
      </c>
      <c r="D2" s="169">
        <f>+Tax!E132*0.5*C2</f>
        <v>-275422364835</v>
      </c>
      <c r="E2" s="169">
        <f>+D2</f>
        <v>-275422364835</v>
      </c>
      <c r="F2" s="169"/>
      <c r="G2" s="169"/>
      <c r="H2" s="169"/>
      <c r="I2" s="169"/>
      <c r="J2" s="169"/>
      <c r="K2" s="169">
        <f>+C2*Tax!E131*0.5</f>
        <v>-26090434770540</v>
      </c>
      <c r="L2" s="169">
        <f>+K2</f>
        <v>-26090434770540</v>
      </c>
      <c r="M2" s="169"/>
      <c r="N2" s="169"/>
      <c r="O2" s="169"/>
      <c r="P2" s="169"/>
      <c r="Q2" s="169">
        <f>C2-SUM(D2:O2)</f>
        <v>52731725150559</v>
      </c>
      <c r="R2" s="169"/>
      <c r="S2" s="169"/>
    </row>
    <row r="3" spans="1:19">
      <c r="A3" s="168">
        <v>1.02</v>
      </c>
      <c r="B3" s="171" t="str">
        <f>+Forecast!C13</f>
        <v>Public Utility Personal Property Tax</v>
      </c>
      <c r="C3" s="166">
        <v>684971</v>
      </c>
      <c r="D3" s="169">
        <f>+Tax!E132*0.5*C3</f>
        <v>-17340040865</v>
      </c>
      <c r="E3" s="169">
        <f>+D3</f>
        <v>-17340040865</v>
      </c>
      <c r="F3" s="169"/>
      <c r="G3" s="169"/>
      <c r="H3" s="169"/>
      <c r="I3" s="169"/>
      <c r="J3" s="169"/>
      <c r="K3" s="169">
        <f>+C3*Tax!E131*0.5</f>
        <v>-1642601556260</v>
      </c>
      <c r="L3" s="169">
        <f>+K3</f>
        <v>-1642601556260</v>
      </c>
      <c r="M3" s="169"/>
      <c r="N3" s="169"/>
      <c r="O3" s="169"/>
      <c r="P3" s="169"/>
      <c r="Q3" s="169">
        <f t="shared" ref="Q3:Q39" si="0">C3-SUM(D3:O3)</f>
        <v>3319883879221</v>
      </c>
      <c r="R3" s="169"/>
      <c r="S3" s="169"/>
    </row>
    <row r="4" spans="1:19">
      <c r="A4" s="168">
        <v>1.03</v>
      </c>
      <c r="B4" s="171" t="str">
        <f>+Forecast!C14</f>
        <v>Income Tax</v>
      </c>
      <c r="C4" s="166">
        <v>4828041</v>
      </c>
      <c r="D4" s="169">
        <f>+C4*0.28</f>
        <v>1351851.4800000002</v>
      </c>
      <c r="E4" s="169"/>
      <c r="F4" s="169"/>
      <c r="G4" s="169">
        <f>+C4*0.22</f>
        <v>1062169.02</v>
      </c>
      <c r="H4" s="169"/>
      <c r="I4" s="169"/>
      <c r="J4" s="169">
        <f>+C4*0.22</f>
        <v>1062169.02</v>
      </c>
      <c r="K4" s="169"/>
      <c r="L4" s="169"/>
      <c r="M4" s="169">
        <f>+C4*0.28</f>
        <v>1351851.4800000002</v>
      </c>
      <c r="N4" s="169"/>
      <c r="O4" s="169"/>
      <c r="P4" s="169"/>
      <c r="Q4" s="169">
        <f t="shared" si="0"/>
        <v>0</v>
      </c>
      <c r="R4" s="169"/>
      <c r="S4" s="169"/>
    </row>
    <row r="5" spans="1:19">
      <c r="A5" s="168">
        <v>1.0349999999999999</v>
      </c>
      <c r="B5" s="171" t="str">
        <f>+Forecast!C15</f>
        <v>Unrestricted State Grants-in-Aid</v>
      </c>
      <c r="C5" s="604">
        <v>12974327</v>
      </c>
      <c r="D5" s="169">
        <f>+C5/12</f>
        <v>1081193.9166666667</v>
      </c>
      <c r="E5" s="169">
        <f>+D5</f>
        <v>1081193.9166666667</v>
      </c>
      <c r="F5" s="169">
        <f t="shared" ref="F5:O5" si="1">+E5</f>
        <v>1081193.9166666667</v>
      </c>
      <c r="G5" s="169">
        <f t="shared" si="1"/>
        <v>1081193.9166666667</v>
      </c>
      <c r="H5" s="169">
        <f t="shared" si="1"/>
        <v>1081193.9166666667</v>
      </c>
      <c r="I5" s="169">
        <f t="shared" si="1"/>
        <v>1081193.9166666667</v>
      </c>
      <c r="J5" s="169">
        <f t="shared" si="1"/>
        <v>1081193.9166666667</v>
      </c>
      <c r="K5" s="169">
        <f t="shared" si="1"/>
        <v>1081193.9166666667</v>
      </c>
      <c r="L5" s="169">
        <f t="shared" si="1"/>
        <v>1081193.9166666667</v>
      </c>
      <c r="M5" s="169">
        <f t="shared" si="1"/>
        <v>1081193.9166666667</v>
      </c>
      <c r="N5" s="169">
        <f t="shared" si="1"/>
        <v>1081193.9166666667</v>
      </c>
      <c r="O5" s="169">
        <f t="shared" si="1"/>
        <v>1081193.9166666667</v>
      </c>
      <c r="P5" s="169"/>
      <c r="Q5" s="169">
        <f t="shared" si="0"/>
        <v>0</v>
      </c>
      <c r="R5" s="169"/>
      <c r="S5" s="169"/>
    </row>
    <row r="6" spans="1:19">
      <c r="A6" s="168">
        <v>1.04</v>
      </c>
      <c r="B6" s="171" t="str">
        <f>+Forecast!C16</f>
        <v>Restricted State Grants-in-Aid</v>
      </c>
      <c r="C6" s="604">
        <v>352959</v>
      </c>
      <c r="D6" s="169">
        <f>+C6/12</f>
        <v>29413.25</v>
      </c>
      <c r="E6" s="169">
        <f>+D6</f>
        <v>29413.25</v>
      </c>
      <c r="F6" s="169">
        <f t="shared" ref="F6:O6" si="2">+E6</f>
        <v>29413.25</v>
      </c>
      <c r="G6" s="169">
        <f t="shared" si="2"/>
        <v>29413.25</v>
      </c>
      <c r="H6" s="169">
        <f t="shared" si="2"/>
        <v>29413.25</v>
      </c>
      <c r="I6" s="169">
        <f t="shared" si="2"/>
        <v>29413.25</v>
      </c>
      <c r="J6" s="169">
        <f t="shared" si="2"/>
        <v>29413.25</v>
      </c>
      <c r="K6" s="169">
        <f t="shared" si="2"/>
        <v>29413.25</v>
      </c>
      <c r="L6" s="169">
        <f t="shared" si="2"/>
        <v>29413.25</v>
      </c>
      <c r="M6" s="169">
        <f t="shared" si="2"/>
        <v>29413.25</v>
      </c>
      <c r="N6" s="169">
        <f t="shared" si="2"/>
        <v>29413.25</v>
      </c>
      <c r="O6" s="169">
        <f t="shared" si="2"/>
        <v>29413.25</v>
      </c>
      <c r="P6" s="169"/>
      <c r="Q6" s="169">
        <f t="shared" si="0"/>
        <v>0</v>
      </c>
      <c r="R6" s="169"/>
      <c r="S6" s="169"/>
    </row>
    <row r="7" spans="1:19">
      <c r="A7" s="168">
        <v>1.0449999999999999</v>
      </c>
      <c r="B7" s="171" t="str">
        <f>+Forecast!C17</f>
        <v>Restricted Federal Grants In Aid</v>
      </c>
      <c r="C7" s="166">
        <f>+Forecast!H17</f>
        <v>0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>
        <f t="shared" si="0"/>
        <v>0</v>
      </c>
      <c r="R7" s="169"/>
      <c r="S7" s="169"/>
    </row>
    <row r="8" spans="1:19">
      <c r="A8" s="168">
        <v>1.05</v>
      </c>
      <c r="B8" s="171" t="str">
        <f>+Forecast!C18</f>
        <v>Property Tax Allocation</v>
      </c>
      <c r="C8" s="604">
        <v>1706823</v>
      </c>
      <c r="D8" s="169"/>
      <c r="E8" s="169"/>
      <c r="F8" s="169"/>
      <c r="G8" s="169">
        <f>+C8*0.5</f>
        <v>853411.5</v>
      </c>
      <c r="H8" s="169"/>
      <c r="I8" s="169"/>
      <c r="J8" s="169"/>
      <c r="K8" s="169"/>
      <c r="L8" s="169"/>
      <c r="M8" s="169"/>
      <c r="N8" s="169">
        <f>+G8</f>
        <v>853411.5</v>
      </c>
      <c r="O8" s="169"/>
      <c r="P8" s="169"/>
      <c r="Q8" s="169">
        <f t="shared" si="0"/>
        <v>0</v>
      </c>
      <c r="R8" s="169"/>
      <c r="S8" s="169"/>
    </row>
    <row r="9" spans="1:19">
      <c r="A9" s="168">
        <v>1.06</v>
      </c>
      <c r="B9" s="171" t="str">
        <f>+Forecast!C19</f>
        <v>All Other Revenues</v>
      </c>
      <c r="C9" s="166">
        <v>3018872</v>
      </c>
      <c r="D9" s="169">
        <f>+C9/12</f>
        <v>251572.66666666666</v>
      </c>
      <c r="E9" s="169">
        <f>+D9</f>
        <v>251572.66666666666</v>
      </c>
      <c r="F9" s="169">
        <f t="shared" ref="F9:O9" si="3">+E9</f>
        <v>251572.66666666666</v>
      </c>
      <c r="G9" s="169">
        <f t="shared" si="3"/>
        <v>251572.66666666666</v>
      </c>
      <c r="H9" s="169">
        <f t="shared" si="3"/>
        <v>251572.66666666666</v>
      </c>
      <c r="I9" s="169">
        <f t="shared" si="3"/>
        <v>251572.66666666666</v>
      </c>
      <c r="J9" s="169">
        <f t="shared" si="3"/>
        <v>251572.66666666666</v>
      </c>
      <c r="K9" s="169">
        <f t="shared" si="3"/>
        <v>251572.66666666666</v>
      </c>
      <c r="L9" s="169">
        <f t="shared" si="3"/>
        <v>251572.66666666666</v>
      </c>
      <c r="M9" s="169">
        <f t="shared" si="3"/>
        <v>251572.66666666666</v>
      </c>
      <c r="N9" s="169">
        <f t="shared" si="3"/>
        <v>251572.66666666666</v>
      </c>
      <c r="O9" s="169">
        <f t="shared" si="3"/>
        <v>251572.66666666666</v>
      </c>
      <c r="P9" s="169"/>
      <c r="Q9" s="169">
        <f t="shared" si="0"/>
        <v>0</v>
      </c>
      <c r="R9" s="169"/>
      <c r="S9" s="169"/>
    </row>
    <row r="10" spans="1:19">
      <c r="B10" s="171" t="str">
        <f>+Forecast!C20</f>
        <v>Total Revenues</v>
      </c>
      <c r="C10" s="169">
        <f>SUM(C2:C9)</f>
        <v>34445802</v>
      </c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</row>
    <row r="11" spans="1:19">
      <c r="A11" s="168">
        <v>2.0099999999999998</v>
      </c>
      <c r="B11" s="171" t="str">
        <f>+Forecast!C23</f>
        <v>Proceeds from Sale of Notes</v>
      </c>
      <c r="C11" s="166">
        <f>+Forecast!H23</f>
        <v>0</v>
      </c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>
        <f t="shared" si="0"/>
        <v>0</v>
      </c>
      <c r="R11" s="169"/>
      <c r="S11" s="169"/>
    </row>
    <row r="12" spans="1:19">
      <c r="A12" s="168">
        <v>2.02</v>
      </c>
      <c r="B12" s="171" t="str">
        <f>+Forecast!C24</f>
        <v>State Emergency Loans and Advancements (Approved)</v>
      </c>
      <c r="C12" s="166">
        <f>+Forecast!H24</f>
        <v>0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>
        <f t="shared" si="0"/>
        <v>0</v>
      </c>
      <c r="R12" s="169"/>
      <c r="S12" s="169"/>
    </row>
    <row r="13" spans="1:19">
      <c r="A13" s="168">
        <v>2.04</v>
      </c>
      <c r="B13" s="171" t="str">
        <f>+Forecast!C25</f>
        <v>Operating Transfers-In</v>
      </c>
      <c r="C13" s="166">
        <f>+Forecast!H25</f>
        <v>0</v>
      </c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>
        <f t="shared" si="0"/>
        <v>0</v>
      </c>
      <c r="R13" s="169"/>
      <c r="S13" s="169"/>
    </row>
    <row r="14" spans="1:19">
      <c r="A14" s="168">
        <v>2.0499999999999998</v>
      </c>
      <c r="B14" s="171" t="str">
        <f>+Forecast!C26</f>
        <v>Advances-In</v>
      </c>
      <c r="C14" s="604">
        <v>30000</v>
      </c>
      <c r="D14" s="169">
        <v>128000</v>
      </c>
      <c r="E14" s="169"/>
      <c r="F14" s="169">
        <f>+C14-D14</f>
        <v>-98000</v>
      </c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>
        <f t="shared" si="0"/>
        <v>0</v>
      </c>
      <c r="R14" s="169"/>
      <c r="S14" s="169"/>
    </row>
    <row r="15" spans="1:19">
      <c r="A15" s="168">
        <v>2.06</v>
      </c>
      <c r="B15" s="171" t="str">
        <f>+Forecast!C27</f>
        <v>All Other Financing Sources</v>
      </c>
      <c r="C15" s="604">
        <v>175000</v>
      </c>
      <c r="D15" s="169">
        <f>+C15/12</f>
        <v>14583.333333333334</v>
      </c>
      <c r="E15" s="169">
        <f t="shared" ref="E15:O15" si="4">+D15</f>
        <v>14583.333333333334</v>
      </c>
      <c r="F15" s="169">
        <f t="shared" si="4"/>
        <v>14583.333333333334</v>
      </c>
      <c r="G15" s="169">
        <f t="shared" si="4"/>
        <v>14583.333333333334</v>
      </c>
      <c r="H15" s="169">
        <f t="shared" si="4"/>
        <v>14583.333333333334</v>
      </c>
      <c r="I15" s="169">
        <f t="shared" si="4"/>
        <v>14583.333333333334</v>
      </c>
      <c r="J15" s="169">
        <f t="shared" si="4"/>
        <v>14583.333333333334</v>
      </c>
      <c r="K15" s="169">
        <f t="shared" si="4"/>
        <v>14583.333333333334</v>
      </c>
      <c r="L15" s="169">
        <f t="shared" si="4"/>
        <v>14583.333333333334</v>
      </c>
      <c r="M15" s="169">
        <f t="shared" si="4"/>
        <v>14583.333333333334</v>
      </c>
      <c r="N15" s="169">
        <f t="shared" si="4"/>
        <v>14583.333333333334</v>
      </c>
      <c r="O15" s="169">
        <f t="shared" si="4"/>
        <v>14583.333333333334</v>
      </c>
      <c r="P15" s="169"/>
      <c r="Q15" s="169">
        <f t="shared" si="0"/>
        <v>0</v>
      </c>
      <c r="R15" s="169"/>
      <c r="S15" s="169"/>
    </row>
    <row r="16" spans="1:19">
      <c r="B16" s="171" t="str">
        <f>+Forecast!C29</f>
        <v>Total Revenues and Other Financing Sources</v>
      </c>
      <c r="C16" s="169">
        <f>SUM(C10:C15)</f>
        <v>34650802</v>
      </c>
      <c r="D16" s="169">
        <f>SUM(D2:D15)</f>
        <v>-292759549085.35333</v>
      </c>
      <c r="E16" s="169">
        <f t="shared" ref="E16:O16" si="5">SUM(E2:E15)</f>
        <v>-292761028936.83331</v>
      </c>
      <c r="F16" s="169">
        <f t="shared" si="5"/>
        <v>1278763.1666666667</v>
      </c>
      <c r="G16" s="169">
        <f t="shared" si="5"/>
        <v>3292343.6866666665</v>
      </c>
      <c r="H16" s="169">
        <f t="shared" si="5"/>
        <v>1376763.1666666667</v>
      </c>
      <c r="I16" s="169">
        <f t="shared" si="5"/>
        <v>1376763.1666666667</v>
      </c>
      <c r="J16" s="169">
        <f t="shared" si="5"/>
        <v>2438932.1866666665</v>
      </c>
      <c r="K16" s="169">
        <f t="shared" si="5"/>
        <v>-27733034950036.832</v>
      </c>
      <c r="L16" s="169">
        <f t="shared" si="5"/>
        <v>-27733034950036.832</v>
      </c>
      <c r="M16" s="169">
        <f t="shared" si="5"/>
        <v>2728614.646666667</v>
      </c>
      <c r="N16" s="169">
        <f t="shared" si="5"/>
        <v>2230174.666666667</v>
      </c>
      <c r="O16" s="169">
        <f t="shared" si="5"/>
        <v>1376763.1666666667</v>
      </c>
      <c r="P16" s="169"/>
      <c r="Q16" s="169">
        <f t="shared" si="0"/>
        <v>56051609029780</v>
      </c>
      <c r="R16" s="169"/>
      <c r="S16" s="169"/>
    </row>
    <row r="17" spans="1:19">
      <c r="B17" s="171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>
        <f t="shared" si="0"/>
        <v>0</v>
      </c>
      <c r="R17" s="169"/>
      <c r="S17" s="169"/>
    </row>
    <row r="18" spans="1:19">
      <c r="A18" s="168">
        <v>3.01</v>
      </c>
      <c r="B18" s="171" t="str">
        <f>+Forecast!C32</f>
        <v>Personal Services</v>
      </c>
      <c r="C18" s="605">
        <v>18654183</v>
      </c>
      <c r="D18" s="169">
        <f>+C18/26*2</f>
        <v>1434937.1538461538</v>
      </c>
      <c r="E18" s="169">
        <f t="shared" ref="E18:O18" si="6">+D18</f>
        <v>1434937.1538461538</v>
      </c>
      <c r="F18" s="169">
        <f>+E18*1.5</f>
        <v>2152405.7307692305</v>
      </c>
      <c r="G18" s="169">
        <f>+E18</f>
        <v>1434937.1538461538</v>
      </c>
      <c r="H18" s="169">
        <f t="shared" si="6"/>
        <v>1434937.1538461538</v>
      </c>
      <c r="I18" s="169">
        <f t="shared" si="6"/>
        <v>1434937.1538461538</v>
      </c>
      <c r="J18" s="169">
        <f t="shared" si="6"/>
        <v>1434937.1538461538</v>
      </c>
      <c r="K18" s="169">
        <f t="shared" si="6"/>
        <v>1434937.1538461538</v>
      </c>
      <c r="L18" s="169">
        <f>+K18*1.5</f>
        <v>2152405.7307692305</v>
      </c>
      <c r="M18" s="169">
        <f>+K18</f>
        <v>1434937.1538461538</v>
      </c>
      <c r="N18" s="169">
        <f t="shared" si="6"/>
        <v>1434937.1538461538</v>
      </c>
      <c r="O18" s="169">
        <f t="shared" si="6"/>
        <v>1434937.1538461538</v>
      </c>
      <c r="P18" s="169"/>
      <c r="Q18" s="169">
        <f t="shared" si="0"/>
        <v>0</v>
      </c>
      <c r="R18" s="169"/>
      <c r="S18" s="169"/>
    </row>
    <row r="19" spans="1:19">
      <c r="A19" s="168">
        <v>3.02</v>
      </c>
      <c r="B19" s="171" t="str">
        <f>+Forecast!C33</f>
        <v>Employees' Retirement/Insurance Benefits</v>
      </c>
      <c r="C19" s="605">
        <v>7308225</v>
      </c>
      <c r="D19" s="169">
        <f>(+C19-(D18*0.18*0.5))/12</f>
        <v>598256.72134615388</v>
      </c>
      <c r="E19" s="169">
        <f t="shared" ref="E19:O19" si="7">+D19</f>
        <v>598256.72134615388</v>
      </c>
      <c r="F19" s="169">
        <f>(+F18-E18)*0.18*0.5+E19</f>
        <v>662828.89326923084</v>
      </c>
      <c r="G19" s="169">
        <f>+E19</f>
        <v>598256.72134615388</v>
      </c>
      <c r="H19" s="169">
        <f t="shared" si="7"/>
        <v>598256.72134615388</v>
      </c>
      <c r="I19" s="169">
        <f t="shared" si="7"/>
        <v>598256.72134615388</v>
      </c>
      <c r="J19" s="169">
        <f t="shared" si="7"/>
        <v>598256.72134615388</v>
      </c>
      <c r="K19" s="169">
        <f t="shared" si="7"/>
        <v>598256.72134615388</v>
      </c>
      <c r="L19" s="169">
        <f>+F19</f>
        <v>662828.89326923084</v>
      </c>
      <c r="M19" s="169">
        <f>+K19</f>
        <v>598256.72134615388</v>
      </c>
      <c r="N19" s="169">
        <f t="shared" si="7"/>
        <v>598256.72134615388</v>
      </c>
      <c r="O19" s="169">
        <f t="shared" si="7"/>
        <v>598256.72134615388</v>
      </c>
      <c r="P19" s="169"/>
      <c r="Q19" s="169">
        <f t="shared" si="0"/>
        <v>0</v>
      </c>
      <c r="R19" s="169"/>
      <c r="S19" s="169"/>
    </row>
    <row r="20" spans="1:19">
      <c r="A20" s="168">
        <v>3.03</v>
      </c>
      <c r="B20" s="171" t="str">
        <f>+Forecast!C34</f>
        <v>Purchased Services</v>
      </c>
      <c r="C20" s="605">
        <v>6113923</v>
      </c>
      <c r="D20" s="169">
        <f>+C20/12</f>
        <v>509493.58333333331</v>
      </c>
      <c r="E20" s="169">
        <f t="shared" ref="E20:O20" si="8">+D20</f>
        <v>509493.58333333331</v>
      </c>
      <c r="F20" s="169">
        <f t="shared" si="8"/>
        <v>509493.58333333331</v>
      </c>
      <c r="G20" s="169">
        <f t="shared" si="8"/>
        <v>509493.58333333331</v>
      </c>
      <c r="H20" s="169">
        <f t="shared" si="8"/>
        <v>509493.58333333331</v>
      </c>
      <c r="I20" s="169">
        <f t="shared" si="8"/>
        <v>509493.58333333331</v>
      </c>
      <c r="J20" s="169">
        <f t="shared" si="8"/>
        <v>509493.58333333331</v>
      </c>
      <c r="K20" s="169">
        <f t="shared" si="8"/>
        <v>509493.58333333331</v>
      </c>
      <c r="L20" s="169">
        <f t="shared" si="8"/>
        <v>509493.58333333331</v>
      </c>
      <c r="M20" s="169">
        <f t="shared" si="8"/>
        <v>509493.58333333331</v>
      </c>
      <c r="N20" s="169">
        <f t="shared" si="8"/>
        <v>509493.58333333331</v>
      </c>
      <c r="O20" s="169">
        <f t="shared" si="8"/>
        <v>509493.58333333331</v>
      </c>
      <c r="P20" s="169"/>
      <c r="Q20" s="169">
        <f t="shared" si="0"/>
        <v>0</v>
      </c>
      <c r="R20" s="169"/>
      <c r="S20" s="169"/>
    </row>
    <row r="21" spans="1:19">
      <c r="A21" s="168">
        <v>3.04</v>
      </c>
      <c r="B21" s="171" t="str">
        <f>+Forecast!C35</f>
        <v>Supplies and Materials</v>
      </c>
      <c r="C21" s="169">
        <v>962350</v>
      </c>
      <c r="D21" s="169">
        <f>+C21/12</f>
        <v>80195.833333333328</v>
      </c>
      <c r="E21" s="169">
        <f t="shared" ref="E21:O21" si="9">+D21</f>
        <v>80195.833333333328</v>
      </c>
      <c r="F21" s="169">
        <f t="shared" si="9"/>
        <v>80195.833333333328</v>
      </c>
      <c r="G21" s="169">
        <f t="shared" si="9"/>
        <v>80195.833333333328</v>
      </c>
      <c r="H21" s="169">
        <f t="shared" si="9"/>
        <v>80195.833333333328</v>
      </c>
      <c r="I21" s="169">
        <f t="shared" si="9"/>
        <v>80195.833333333328</v>
      </c>
      <c r="J21" s="169">
        <f t="shared" si="9"/>
        <v>80195.833333333328</v>
      </c>
      <c r="K21" s="169">
        <f t="shared" si="9"/>
        <v>80195.833333333328</v>
      </c>
      <c r="L21" s="169">
        <f t="shared" si="9"/>
        <v>80195.833333333328</v>
      </c>
      <c r="M21" s="169">
        <f t="shared" si="9"/>
        <v>80195.833333333328</v>
      </c>
      <c r="N21" s="169">
        <f t="shared" si="9"/>
        <v>80195.833333333328</v>
      </c>
      <c r="O21" s="169">
        <f t="shared" si="9"/>
        <v>80195.833333333328</v>
      </c>
      <c r="P21" s="169"/>
      <c r="Q21" s="169">
        <f t="shared" si="0"/>
        <v>0</v>
      </c>
      <c r="R21" s="169"/>
      <c r="S21" s="169"/>
    </row>
    <row r="22" spans="1:19">
      <c r="A22" s="168">
        <v>3.05</v>
      </c>
      <c r="B22" s="171" t="str">
        <f>+Forecast!C36</f>
        <v>Capital Outlay</v>
      </c>
      <c r="C22" s="169">
        <v>500000</v>
      </c>
      <c r="D22" s="169">
        <f>+C22/12</f>
        <v>41666.666666666664</v>
      </c>
      <c r="E22" s="169">
        <f>+D22</f>
        <v>41666.666666666664</v>
      </c>
      <c r="F22" s="169">
        <f>+E22</f>
        <v>41666.666666666664</v>
      </c>
      <c r="G22" s="169">
        <f>+E22</f>
        <v>41666.666666666664</v>
      </c>
      <c r="H22" s="169">
        <f t="shared" ref="H22:O22" si="10">+G22</f>
        <v>41666.666666666664</v>
      </c>
      <c r="I22" s="169">
        <f t="shared" si="10"/>
        <v>41666.666666666664</v>
      </c>
      <c r="J22" s="169">
        <f t="shared" si="10"/>
        <v>41666.666666666664</v>
      </c>
      <c r="K22" s="169">
        <f t="shared" si="10"/>
        <v>41666.666666666664</v>
      </c>
      <c r="L22" s="169">
        <f t="shared" si="10"/>
        <v>41666.666666666664</v>
      </c>
      <c r="M22" s="169">
        <f t="shared" si="10"/>
        <v>41666.666666666664</v>
      </c>
      <c r="N22" s="169">
        <f t="shared" si="10"/>
        <v>41666.666666666664</v>
      </c>
      <c r="O22" s="169">
        <f t="shared" si="10"/>
        <v>41666.666666666664</v>
      </c>
      <c r="P22" s="169"/>
      <c r="Q22" s="169">
        <f t="shared" si="0"/>
        <v>0</v>
      </c>
      <c r="R22" s="169"/>
      <c r="S22" s="169"/>
    </row>
    <row r="23" spans="1:19">
      <c r="A23" s="168">
        <v>3.06</v>
      </c>
      <c r="B23" s="171" t="str">
        <f>+Forecast!C37</f>
        <v>Intergovernmental</v>
      </c>
      <c r="C23" s="169">
        <f>+Forecast!H37</f>
        <v>0</v>
      </c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>
        <f t="shared" si="0"/>
        <v>0</v>
      </c>
      <c r="R23" s="169"/>
      <c r="S23" s="169"/>
    </row>
    <row r="24" spans="1:19">
      <c r="A24" s="168"/>
      <c r="B24" s="171" t="str">
        <f>+Forecast!C38</f>
        <v>Debt Service:</v>
      </c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>
        <f t="shared" si="0"/>
        <v>0</v>
      </c>
      <c r="R24" s="169"/>
      <c r="S24" s="169"/>
    </row>
    <row r="25" spans="1:19">
      <c r="A25" s="168">
        <v>4.01</v>
      </c>
      <c r="B25" s="171" t="str">
        <f>+Forecast!C39</f>
        <v xml:space="preserve">  Principal-All (Historical Only)</v>
      </c>
      <c r="C25" s="169">
        <f>+Forecast!H39</f>
        <v>0</v>
      </c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>
        <f t="shared" si="0"/>
        <v>0</v>
      </c>
      <c r="R25" s="169"/>
      <c r="S25" s="169"/>
    </row>
    <row r="26" spans="1:19">
      <c r="A26" s="168">
        <v>4.0199999999999996</v>
      </c>
      <c r="B26" s="171" t="str">
        <f>+Forecast!C40</f>
        <v xml:space="preserve">  Principal-Notes</v>
      </c>
      <c r="C26" s="169">
        <f>+Forecast!H40</f>
        <v>0</v>
      </c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>
        <f t="shared" si="0"/>
        <v>0</v>
      </c>
      <c r="R26" s="169"/>
      <c r="S26" s="169"/>
    </row>
    <row r="27" spans="1:19">
      <c r="A27" s="168">
        <v>4.03</v>
      </c>
      <c r="B27" s="171" t="str">
        <f>+Forecast!C41</f>
        <v xml:space="preserve">  Principal-State Loans</v>
      </c>
      <c r="C27" s="169">
        <f>+Forecast!H41</f>
        <v>0</v>
      </c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>
        <f t="shared" si="0"/>
        <v>0</v>
      </c>
      <c r="R27" s="169"/>
      <c r="S27" s="169"/>
    </row>
    <row r="28" spans="1:19">
      <c r="A28" s="168">
        <v>4.04</v>
      </c>
      <c r="B28" s="171" t="str">
        <f>+Forecast!C42</f>
        <v xml:space="preserve">  Principal-State Advancements</v>
      </c>
      <c r="C28" s="169">
        <f>+Forecast!H42</f>
        <v>0</v>
      </c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>
        <f t="shared" si="0"/>
        <v>0</v>
      </c>
      <c r="R28" s="169"/>
      <c r="S28" s="169"/>
    </row>
    <row r="29" spans="1:19">
      <c r="A29" s="168">
        <v>4.05</v>
      </c>
      <c r="B29" s="171" t="str">
        <f>+Forecast!C43</f>
        <v xml:space="preserve">  Principal-HB 264 Loans</v>
      </c>
      <c r="C29" s="169">
        <f>+Forecast!H43</f>
        <v>0</v>
      </c>
      <c r="D29" s="169"/>
      <c r="E29" s="169"/>
      <c r="F29" s="169"/>
      <c r="G29" s="169"/>
      <c r="H29" s="169">
        <v>0</v>
      </c>
      <c r="I29" s="169"/>
      <c r="J29" s="169"/>
      <c r="K29" s="169"/>
      <c r="L29" s="169"/>
      <c r="M29" s="169"/>
      <c r="N29" s="169"/>
      <c r="O29" s="169"/>
      <c r="P29" s="169"/>
      <c r="Q29" s="169">
        <f t="shared" si="0"/>
        <v>0</v>
      </c>
      <c r="R29" s="169"/>
      <c r="S29" s="169"/>
    </row>
    <row r="30" spans="1:19">
      <c r="A30" s="168">
        <v>4.0549999999999997</v>
      </c>
      <c r="B30" s="171" t="str">
        <f>+Forecast!C44</f>
        <v xml:space="preserve">  Principal-Other</v>
      </c>
      <c r="C30" s="169">
        <f>+Forecast!H44</f>
        <v>0</v>
      </c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>
        <f t="shared" si="0"/>
        <v>0</v>
      </c>
      <c r="R30" s="169"/>
      <c r="S30" s="169"/>
    </row>
    <row r="31" spans="1:19">
      <c r="A31" s="168">
        <v>4.0599999999999996</v>
      </c>
      <c r="B31" s="171" t="str">
        <f>+Forecast!C45</f>
        <v xml:space="preserve">  Interest and Fiscal Charges</v>
      </c>
      <c r="C31" s="169">
        <f>+Forecast!H45</f>
        <v>0</v>
      </c>
      <c r="D31" s="169"/>
      <c r="E31" s="169"/>
      <c r="F31" s="169"/>
      <c r="G31" s="169"/>
      <c r="H31" s="169">
        <f>+C31/2</f>
        <v>0</v>
      </c>
      <c r="I31" s="169"/>
      <c r="J31" s="169"/>
      <c r="K31" s="169"/>
      <c r="L31" s="169"/>
      <c r="M31" s="169"/>
      <c r="N31" s="169">
        <f>+H31</f>
        <v>0</v>
      </c>
      <c r="O31" s="169"/>
      <c r="P31" s="169"/>
      <c r="Q31" s="169">
        <f t="shared" si="0"/>
        <v>0</v>
      </c>
      <c r="R31" s="169"/>
      <c r="S31" s="169"/>
    </row>
    <row r="32" spans="1:19">
      <c r="A32" s="168">
        <v>4.3</v>
      </c>
      <c r="B32" s="171" t="str">
        <f>+Forecast!C46</f>
        <v>Other Objects</v>
      </c>
      <c r="C32" s="169">
        <v>383856</v>
      </c>
      <c r="D32" s="169">
        <f>+C32/12</f>
        <v>31988</v>
      </c>
      <c r="E32" s="169">
        <f t="shared" ref="E32:O32" si="11">+D32</f>
        <v>31988</v>
      </c>
      <c r="F32" s="169">
        <f t="shared" si="11"/>
        <v>31988</v>
      </c>
      <c r="G32" s="169">
        <f t="shared" si="11"/>
        <v>31988</v>
      </c>
      <c r="H32" s="169">
        <f t="shared" si="11"/>
        <v>31988</v>
      </c>
      <c r="I32" s="169">
        <f t="shared" si="11"/>
        <v>31988</v>
      </c>
      <c r="J32" s="169">
        <f t="shared" si="11"/>
        <v>31988</v>
      </c>
      <c r="K32" s="169">
        <f t="shared" si="11"/>
        <v>31988</v>
      </c>
      <c r="L32" s="169">
        <f t="shared" si="11"/>
        <v>31988</v>
      </c>
      <c r="M32" s="169">
        <f t="shared" si="11"/>
        <v>31988</v>
      </c>
      <c r="N32" s="169">
        <f t="shared" si="11"/>
        <v>31988</v>
      </c>
      <c r="O32" s="169">
        <f t="shared" si="11"/>
        <v>31988</v>
      </c>
      <c r="P32" s="169"/>
      <c r="Q32" s="169">
        <f t="shared" si="0"/>
        <v>0</v>
      </c>
      <c r="R32" s="169"/>
      <c r="S32" s="169"/>
    </row>
    <row r="33" spans="1:19" ht="13.8">
      <c r="A33" s="170"/>
      <c r="B33" s="171" t="str">
        <f>+Forecast!C47</f>
        <v>Total Expenditures</v>
      </c>
      <c r="C33" s="169">
        <f>SUM(C18:C32)</f>
        <v>33922537</v>
      </c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</row>
    <row r="34" spans="1:19">
      <c r="A34" s="168"/>
      <c r="B34" s="171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>
        <f t="shared" si="0"/>
        <v>0</v>
      </c>
      <c r="R34" s="169"/>
      <c r="S34" s="169"/>
    </row>
    <row r="35" spans="1:19">
      <c r="A35" s="168"/>
      <c r="B35" s="171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>
        <f t="shared" si="0"/>
        <v>0</v>
      </c>
      <c r="R35" s="169"/>
      <c r="S35" s="169"/>
    </row>
    <row r="36" spans="1:19">
      <c r="A36" s="168">
        <v>5.01</v>
      </c>
      <c r="B36" s="171" t="str">
        <f>+Forecast!C50</f>
        <v>Operating Transfers-Out</v>
      </c>
      <c r="C36" s="169">
        <f>+Forecast!I50</f>
        <v>35000</v>
      </c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>
        <v>42000</v>
      </c>
      <c r="P36" s="169"/>
      <c r="Q36" s="169">
        <f t="shared" si="0"/>
        <v>-7000</v>
      </c>
      <c r="R36" s="169"/>
      <c r="S36" s="169"/>
    </row>
    <row r="37" spans="1:19">
      <c r="A37" s="168">
        <v>5.0199999999999996</v>
      </c>
      <c r="B37" s="171" t="str">
        <f>+Forecast!C51</f>
        <v>Advances-Out</v>
      </c>
      <c r="C37" s="169">
        <f>+Forecast!I51</f>
        <v>0</v>
      </c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>
        <v>0</v>
      </c>
      <c r="P37" s="169"/>
      <c r="Q37" s="169">
        <f t="shared" si="0"/>
        <v>0</v>
      </c>
      <c r="R37" s="169"/>
      <c r="S37" s="169"/>
    </row>
    <row r="38" spans="1:19">
      <c r="A38" s="168"/>
      <c r="B38" s="171" t="str">
        <f>+Forecast!C52</f>
        <v>All Other Financing Uses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</row>
    <row r="39" spans="1:19">
      <c r="A39" s="167">
        <v>5.05</v>
      </c>
      <c r="B39" s="171" t="str">
        <f>+Forecast!C53</f>
        <v>Total Other Financing Uses</v>
      </c>
      <c r="C39" s="169">
        <f>SUM(C33:C38)</f>
        <v>33957537</v>
      </c>
      <c r="D39" s="169">
        <f>SUM(D18:D38)</f>
        <v>2696537.9585256409</v>
      </c>
      <c r="E39" s="169">
        <f t="shared" ref="E39:O39" si="12">SUM(E18:E38)</f>
        <v>2696537.9585256409</v>
      </c>
      <c r="F39" s="169">
        <f t="shared" si="12"/>
        <v>3478578.7073717951</v>
      </c>
      <c r="G39" s="169">
        <f t="shared" si="12"/>
        <v>2696537.9585256409</v>
      </c>
      <c r="H39" s="169">
        <f t="shared" si="12"/>
        <v>2696537.9585256409</v>
      </c>
      <c r="I39" s="169">
        <f t="shared" si="12"/>
        <v>2696537.9585256409</v>
      </c>
      <c r="J39" s="169">
        <f t="shared" si="12"/>
        <v>2696537.9585256409</v>
      </c>
      <c r="K39" s="169">
        <f t="shared" si="12"/>
        <v>2696537.9585256409</v>
      </c>
      <c r="L39" s="169">
        <f t="shared" si="12"/>
        <v>3478578.7073717951</v>
      </c>
      <c r="M39" s="169">
        <f t="shared" si="12"/>
        <v>2696537.9585256409</v>
      </c>
      <c r="N39" s="169">
        <f t="shared" si="12"/>
        <v>2696537.9585256409</v>
      </c>
      <c r="O39" s="169">
        <f t="shared" si="12"/>
        <v>2738537.9585256409</v>
      </c>
      <c r="P39" s="169"/>
      <c r="Q39" s="169">
        <f t="shared" si="0"/>
        <v>-7000.0000000074506</v>
      </c>
      <c r="R39" s="169"/>
      <c r="S39" s="169"/>
    </row>
    <row r="40" spans="1:19"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</row>
    <row r="41" spans="1:19"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</row>
    <row r="42" spans="1:19"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</row>
    <row r="43" spans="1:19" ht="20.399999999999999">
      <c r="B43" s="1597" t="str">
        <f>+Cover!D58</f>
        <v>Madison Local School District</v>
      </c>
      <c r="C43" s="1597"/>
      <c r="D43" s="1597"/>
      <c r="E43" s="1597"/>
      <c r="F43" s="1597"/>
      <c r="G43" s="1597"/>
      <c r="H43" s="1597"/>
      <c r="I43" s="1597"/>
      <c r="J43" s="1597"/>
      <c r="K43" s="1597"/>
      <c r="L43" s="1597"/>
      <c r="M43" s="1597"/>
      <c r="N43" s="1597"/>
      <c r="O43" s="1597"/>
      <c r="P43" s="169"/>
      <c r="Q43" s="169"/>
      <c r="R43" s="169"/>
      <c r="S43" s="169"/>
    </row>
    <row r="44" spans="1:19" ht="15">
      <c r="B44" s="1598" t="s">
        <v>476</v>
      </c>
      <c r="C44" s="1598"/>
      <c r="D44" s="1598"/>
      <c r="E44" s="1598"/>
      <c r="F44" s="1598"/>
      <c r="G44" s="1598"/>
      <c r="H44" s="1598"/>
      <c r="I44" s="1598"/>
      <c r="J44" s="1598"/>
      <c r="K44" s="1598"/>
      <c r="L44" s="1598"/>
      <c r="M44" s="1598"/>
      <c r="N44" s="1598"/>
      <c r="O44" s="1598"/>
      <c r="P44" s="169"/>
      <c r="Q44" s="169"/>
      <c r="R44" s="169"/>
      <c r="S44" s="169"/>
    </row>
    <row r="45" spans="1:19" ht="15">
      <c r="B45" s="1598" t="str">
        <f ca="1">"Varaince Report for "&amp;TEXT((NOW()-20),"mmmm-yyyy")</f>
        <v>Varaince Report for April-2022</v>
      </c>
      <c r="C45" s="1598"/>
      <c r="D45" s="1598"/>
      <c r="E45" s="1598"/>
      <c r="F45" s="1598"/>
      <c r="G45" s="1598"/>
      <c r="H45" s="1598"/>
      <c r="I45" s="1598"/>
      <c r="J45" s="1598"/>
      <c r="K45" s="1598"/>
      <c r="L45" s="1598"/>
      <c r="M45" s="1598"/>
      <c r="N45" s="1598"/>
      <c r="O45" s="1598"/>
      <c r="P45" s="169"/>
      <c r="Q45" s="169"/>
      <c r="R45" s="169"/>
      <c r="S45" s="169"/>
    </row>
    <row r="46" spans="1:19">
      <c r="B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</row>
    <row r="47" spans="1:19"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</row>
    <row r="48" spans="1:19" ht="22.8">
      <c r="B48" s="172" t="s">
        <v>475</v>
      </c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</row>
    <row r="49" spans="2:19">
      <c r="C49" s="169" t="s">
        <v>474</v>
      </c>
      <c r="D49" s="169" t="s">
        <v>458</v>
      </c>
      <c r="E49" s="169" t="s">
        <v>459</v>
      </c>
      <c r="F49" s="169" t="s">
        <v>460</v>
      </c>
      <c r="G49" s="169" t="s">
        <v>461</v>
      </c>
      <c r="H49" s="169" t="s">
        <v>462</v>
      </c>
      <c r="I49" s="169" t="s">
        <v>463</v>
      </c>
      <c r="J49" s="169" t="s">
        <v>464</v>
      </c>
      <c r="K49" s="169" t="s">
        <v>466</v>
      </c>
      <c r="L49" s="169" t="s">
        <v>465</v>
      </c>
      <c r="M49" s="169" t="s">
        <v>467</v>
      </c>
      <c r="N49" s="169" t="s">
        <v>472</v>
      </c>
      <c r="O49" s="169" t="s">
        <v>469</v>
      </c>
      <c r="P49" s="169"/>
      <c r="Q49" s="169"/>
      <c r="R49" s="169"/>
      <c r="S49" s="169"/>
    </row>
    <row r="50" spans="2:19">
      <c r="B50" s="167" t="s">
        <v>473</v>
      </c>
      <c r="C50" s="169">
        <f>+Forecast!H57</f>
        <v>6532351</v>
      </c>
      <c r="D50" s="169">
        <f t="shared" ref="D50:O50" si="13">+C50+D16-D39</f>
        <v>-292755713272.31183</v>
      </c>
      <c r="E50" s="169">
        <f t="shared" si="13"/>
        <v>-585519438747.10364</v>
      </c>
      <c r="F50" s="169">
        <f t="shared" si="13"/>
        <v>-585521638562.64441</v>
      </c>
      <c r="G50" s="169">
        <f t="shared" si="13"/>
        <v>-585521042756.91626</v>
      </c>
      <c r="H50" s="169">
        <f t="shared" si="13"/>
        <v>-585522362531.70813</v>
      </c>
      <c r="I50" s="169">
        <f t="shared" si="13"/>
        <v>-585523682306.5</v>
      </c>
      <c r="J50" s="169">
        <f t="shared" si="13"/>
        <v>-585523939912.27185</v>
      </c>
      <c r="K50" s="169">
        <f t="shared" si="13"/>
        <v>-28318561586487.062</v>
      </c>
      <c r="L50" s="169">
        <f t="shared" si="13"/>
        <v>-56051600015102.602</v>
      </c>
      <c r="M50" s="169">
        <f t="shared" si="13"/>
        <v>-56051599983025.914</v>
      </c>
      <c r="N50" s="169">
        <f t="shared" si="13"/>
        <v>-56051600449389.211</v>
      </c>
      <c r="O50" s="169">
        <f t="shared" si="13"/>
        <v>-56051601811164.008</v>
      </c>
      <c r="P50" s="169"/>
      <c r="Q50" s="169"/>
      <c r="R50" s="169"/>
      <c r="S50" s="169"/>
    </row>
    <row r="51" spans="2:19">
      <c r="B51" s="167" t="s">
        <v>300</v>
      </c>
      <c r="C51" s="169">
        <f>+C50</f>
        <v>6532351</v>
      </c>
      <c r="D51" s="169">
        <f t="shared" ref="D51:J53" si="14">+$C51+D86-D121</f>
        <v>9950601.830000015</v>
      </c>
      <c r="E51" s="169">
        <f t="shared" si="14"/>
        <v>11277868.920000022</v>
      </c>
      <c r="F51" s="169">
        <f t="shared" si="14"/>
        <v>10444783.850000029</v>
      </c>
      <c r="G51" s="169">
        <f t="shared" si="14"/>
        <v>10393474.260000035</v>
      </c>
      <c r="H51" s="169">
        <f t="shared" si="14"/>
        <v>9128092.440000046</v>
      </c>
      <c r="I51" s="169">
        <f t="shared" si="14"/>
        <v>7999029.8700000495</v>
      </c>
      <c r="J51" s="169">
        <f t="shared" si="14"/>
        <v>9079798.8700000495</v>
      </c>
      <c r="K51" s="169">
        <v>5</v>
      </c>
      <c r="L51" s="169"/>
      <c r="M51" s="169"/>
      <c r="N51" s="169"/>
      <c r="O51" s="169"/>
    </row>
    <row r="52" spans="2:19">
      <c r="B52" s="167" t="str">
        <f>"Fiscal Year "&amp;+Cover!A49</f>
        <v>Fiscal Year 2021</v>
      </c>
      <c r="C52" s="169">
        <f>+Forecast!F57</f>
        <v>6529301</v>
      </c>
      <c r="D52" s="169">
        <f t="shared" si="14"/>
        <v>7561303.390000008</v>
      </c>
      <c r="E52" s="169">
        <f t="shared" si="14"/>
        <v>10413699.47000001</v>
      </c>
      <c r="F52" s="169">
        <f t="shared" si="14"/>
        <v>9487064.280000031</v>
      </c>
      <c r="G52" s="169">
        <f t="shared" si="14"/>
        <v>8945773.4800000433</v>
      </c>
      <c r="H52" s="169">
        <f t="shared" si="14"/>
        <v>7848883.4500000589</v>
      </c>
      <c r="I52" s="169">
        <f t="shared" si="14"/>
        <v>6685113.8200000729</v>
      </c>
      <c r="J52" s="169">
        <f t="shared" ref="J52:O53" si="15">+$C52+J87-J122</f>
        <v>6793204.3800000809</v>
      </c>
      <c r="K52" s="169">
        <f t="shared" si="15"/>
        <v>9012123.1700000837</v>
      </c>
      <c r="L52" s="169">
        <f t="shared" si="15"/>
        <v>10583004.420000099</v>
      </c>
      <c r="M52" s="169">
        <f t="shared" si="15"/>
        <v>10405853.620000105</v>
      </c>
      <c r="N52" s="169">
        <f t="shared" si="15"/>
        <v>9201845.5700001121</v>
      </c>
      <c r="O52" s="169">
        <f t="shared" si="15"/>
        <v>7804008.7300001159</v>
      </c>
    </row>
    <row r="53" spans="2:19">
      <c r="B53" s="167" t="str">
        <f>"Fiscal Year "&amp;+Cover!A50</f>
        <v>Fiscal Year 2020</v>
      </c>
      <c r="C53" s="169">
        <v>6583192</v>
      </c>
      <c r="D53" s="169">
        <f t="shared" si="14"/>
        <v>7993965.4299999978</v>
      </c>
      <c r="E53" s="169">
        <f t="shared" si="14"/>
        <v>10019552.719999999</v>
      </c>
      <c r="F53" s="169">
        <f t="shared" si="14"/>
        <v>9176907.2699999996</v>
      </c>
      <c r="G53" s="169">
        <f t="shared" si="14"/>
        <v>8555842.3599999957</v>
      </c>
      <c r="H53" s="169">
        <f t="shared" si="14"/>
        <v>7696820.3899999894</v>
      </c>
      <c r="I53" s="169">
        <f t="shared" si="14"/>
        <v>6823948.5399999898</v>
      </c>
      <c r="J53" s="169">
        <f t="shared" si="15"/>
        <v>6646362.8099999875</v>
      </c>
      <c r="K53" s="169">
        <f t="shared" si="15"/>
        <v>8848166.8199999854</v>
      </c>
      <c r="L53" s="169">
        <f t="shared" si="15"/>
        <v>10063933.429999989</v>
      </c>
      <c r="M53" s="169">
        <f t="shared" si="15"/>
        <v>8579659.9499999844</v>
      </c>
      <c r="N53" s="169">
        <f t="shared" si="15"/>
        <v>8283642.0399999842</v>
      </c>
      <c r="O53" s="169">
        <f t="shared" si="15"/>
        <v>6833070.4999999888</v>
      </c>
    </row>
    <row r="54" spans="2:19"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</row>
    <row r="55" spans="2:19"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</row>
    <row r="56" spans="2:19"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</row>
    <row r="57" spans="2:19"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</row>
    <row r="58" spans="2:19"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</row>
    <row r="59" spans="2:19"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</row>
    <row r="60" spans="2:19"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</row>
    <row r="61" spans="2:19"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</row>
    <row r="62" spans="2:19"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</row>
    <row r="63" spans="2:19"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</row>
    <row r="64" spans="2:19"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</row>
    <row r="65" spans="3:15"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</row>
    <row r="66" spans="3:15"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</row>
    <row r="67" spans="3:15"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</row>
    <row r="68" spans="3:15"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</row>
    <row r="69" spans="3:15"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</row>
    <row r="70" spans="3:15"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</row>
    <row r="71" spans="3:15"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</row>
    <row r="72" spans="3:15"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</row>
    <row r="73" spans="3:15"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</row>
    <row r="74" spans="3:15"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</row>
    <row r="75" spans="3:15"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</row>
    <row r="76" spans="3:15"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</row>
    <row r="77" spans="3:15"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</row>
    <row r="78" spans="3:15"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</row>
    <row r="79" spans="3:15"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</row>
    <row r="80" spans="3:15"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</row>
    <row r="81" spans="2:28"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</row>
    <row r="82" spans="2:28">
      <c r="C82" s="169"/>
      <c r="D82" s="122"/>
      <c r="E82" s="122"/>
      <c r="F82" s="122"/>
      <c r="G82" s="122"/>
      <c r="H82" s="122"/>
      <c r="I82" s="122"/>
      <c r="J82" s="169"/>
      <c r="K82" s="169"/>
      <c r="L82" s="169"/>
      <c r="M82" s="169"/>
      <c r="N82" s="169"/>
      <c r="O82" s="169"/>
    </row>
    <row r="83" spans="2:28" ht="22.8">
      <c r="B83" s="172" t="s">
        <v>93</v>
      </c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</row>
    <row r="84" spans="2:28">
      <c r="C84" s="169"/>
      <c r="D84" s="169" t="s">
        <v>458</v>
      </c>
      <c r="E84" s="169" t="s">
        <v>459</v>
      </c>
      <c r="F84" s="169" t="s">
        <v>460</v>
      </c>
      <c r="G84" s="169" t="s">
        <v>461</v>
      </c>
      <c r="H84" s="169" t="s">
        <v>462</v>
      </c>
      <c r="I84" s="169" t="s">
        <v>463</v>
      </c>
      <c r="J84" s="169" t="s">
        <v>464</v>
      </c>
      <c r="K84" s="169" t="s">
        <v>466</v>
      </c>
      <c r="L84" s="169" t="s">
        <v>465</v>
      </c>
      <c r="M84" s="169" t="s">
        <v>467</v>
      </c>
      <c r="N84" s="169" t="s">
        <v>472</v>
      </c>
      <c r="O84" s="169" t="s">
        <v>469</v>
      </c>
      <c r="P84" s="169"/>
    </row>
    <row r="85" spans="2:28">
      <c r="B85" s="167" t="s">
        <v>470</v>
      </c>
      <c r="C85" s="169"/>
      <c r="D85" s="169">
        <f>+D16</f>
        <v>-292759549085.35333</v>
      </c>
      <c r="E85" s="169">
        <f>+E16+D85</f>
        <v>-585520578022.18665</v>
      </c>
      <c r="F85" s="169">
        <f t="shared" ref="F85:O85" si="16">+F16+E85</f>
        <v>-585519299259.02002</v>
      </c>
      <c r="G85" s="169">
        <f t="shared" si="16"/>
        <v>-585516006915.33337</v>
      </c>
      <c r="H85" s="169">
        <f t="shared" si="16"/>
        <v>-585514630152.16675</v>
      </c>
      <c r="I85" s="169">
        <f t="shared" si="16"/>
        <v>-585513253389.00012</v>
      </c>
      <c r="J85" s="169">
        <f t="shared" si="16"/>
        <v>-585510814456.81348</v>
      </c>
      <c r="K85" s="169">
        <f t="shared" si="16"/>
        <v>-28318545764493.645</v>
      </c>
      <c r="L85" s="169">
        <f t="shared" si="16"/>
        <v>-56051580714530.477</v>
      </c>
      <c r="M85" s="169">
        <f t="shared" si="16"/>
        <v>-56051577985915.828</v>
      </c>
      <c r="N85" s="169">
        <f t="shared" si="16"/>
        <v>-56051575755741.164</v>
      </c>
      <c r="O85" s="169">
        <f t="shared" si="16"/>
        <v>-56051574378978</v>
      </c>
      <c r="P85" s="169"/>
    </row>
    <row r="86" spans="2:28">
      <c r="B86" s="167" t="s">
        <v>300</v>
      </c>
      <c r="C86" s="169"/>
      <c r="D86" s="169">
        <f>+Q86</f>
        <v>6092332.3600000003</v>
      </c>
      <c r="E86" s="169">
        <f>+D86+R86</f>
        <v>9846697.5899999999</v>
      </c>
      <c r="F86" s="169">
        <f t="shared" ref="F86:K86" si="17">+E86+S86</f>
        <v>12125588.609999999</v>
      </c>
      <c r="G86" s="169">
        <f t="shared" si="17"/>
        <v>14451008.619999999</v>
      </c>
      <c r="H86" s="169">
        <f t="shared" si="17"/>
        <v>15739959.449999999</v>
      </c>
      <c r="I86" s="169">
        <f t="shared" si="17"/>
        <v>17031183.989999998</v>
      </c>
      <c r="J86" s="169">
        <f t="shared" si="17"/>
        <v>20478052.989999998</v>
      </c>
      <c r="K86" s="169">
        <f t="shared" si="17"/>
        <v>24582092.989999998</v>
      </c>
      <c r="L86" s="169"/>
      <c r="M86" s="169"/>
      <c r="N86" s="169"/>
      <c r="O86" s="169"/>
      <c r="Q86" s="122">
        <v>6092332.3600000003</v>
      </c>
      <c r="R86" s="122">
        <v>3754365.2299999995</v>
      </c>
      <c r="S86" s="122">
        <v>2278891.02</v>
      </c>
      <c r="T86" s="122">
        <v>2325420.0099999998</v>
      </c>
      <c r="U86" s="122">
        <v>1288950.8299999998</v>
      </c>
      <c r="V86" s="122">
        <v>1291224.5400000005</v>
      </c>
      <c r="W86" s="167">
        <v>3446869</v>
      </c>
      <c r="X86" s="167">
        <v>4104040</v>
      </c>
    </row>
    <row r="87" spans="2:28">
      <c r="B87" s="167" t="str">
        <f>+B52</f>
        <v>Fiscal Year 2021</v>
      </c>
      <c r="C87" s="169"/>
      <c r="D87" s="169">
        <f>+Q87</f>
        <v>3476787.87</v>
      </c>
      <c r="E87" s="169">
        <f>+D87+R87</f>
        <v>8668571.3099999987</v>
      </c>
      <c r="F87" s="169">
        <f t="shared" ref="F87:O87" si="18">+E87+S87</f>
        <v>10943075.84</v>
      </c>
      <c r="G87" s="169">
        <f t="shared" si="18"/>
        <v>12913913.689999999</v>
      </c>
      <c r="H87" s="169">
        <f t="shared" si="18"/>
        <v>14180108.51</v>
      </c>
      <c r="I87" s="169">
        <f t="shared" si="18"/>
        <v>15467963.84</v>
      </c>
      <c r="J87" s="169">
        <f t="shared" si="18"/>
        <v>17942279.609999999</v>
      </c>
      <c r="K87" s="169">
        <f t="shared" si="18"/>
        <v>22524776.779999997</v>
      </c>
      <c r="L87" s="169">
        <f t="shared" si="18"/>
        <v>27438698.149999999</v>
      </c>
      <c r="M87" s="169">
        <f t="shared" si="18"/>
        <v>29692033.359999999</v>
      </c>
      <c r="N87" s="169">
        <f t="shared" si="18"/>
        <v>30946441.559999999</v>
      </c>
      <c r="O87" s="169">
        <f t="shared" si="18"/>
        <v>32365812.869999997</v>
      </c>
      <c r="Q87" s="122">
        <v>3476787.87</v>
      </c>
      <c r="R87" s="122">
        <v>5191783.4399999995</v>
      </c>
      <c r="S87" s="122">
        <v>2274504.5300000003</v>
      </c>
      <c r="T87" s="122">
        <v>1970837.85</v>
      </c>
      <c r="U87" s="122">
        <v>1266194.8200000003</v>
      </c>
      <c r="V87" s="122">
        <v>1287855.3299999998</v>
      </c>
      <c r="W87" s="122">
        <v>2474315.7699999996</v>
      </c>
      <c r="X87" s="122">
        <v>4582497.1699999971</v>
      </c>
      <c r="Y87" s="122">
        <v>4913921.370000001</v>
      </c>
      <c r="Z87" s="122">
        <v>2253335.21</v>
      </c>
      <c r="AA87" s="122">
        <v>1254408.1999999997</v>
      </c>
      <c r="AB87" s="122">
        <v>1419371.3099999996</v>
      </c>
    </row>
    <row r="88" spans="2:28">
      <c r="B88" s="167" t="str">
        <f>+B53</f>
        <v>Fiscal Year 2020</v>
      </c>
      <c r="C88" s="169"/>
      <c r="D88" s="169">
        <f>+Q88</f>
        <v>3679515.5599999987</v>
      </c>
      <c r="E88" s="169">
        <f>+D88+R88</f>
        <v>7831315.0999999996</v>
      </c>
      <c r="F88" s="169">
        <f t="shared" ref="F88:O88" si="19">+E88+S88</f>
        <v>9262386.5</v>
      </c>
      <c r="G88" s="169">
        <f t="shared" si="19"/>
        <v>11528598.6</v>
      </c>
      <c r="H88" s="169">
        <f t="shared" si="19"/>
        <v>12807030.559999999</v>
      </c>
      <c r="I88" s="169">
        <f t="shared" si="19"/>
        <v>14095569.879999999</v>
      </c>
      <c r="J88" s="169">
        <f t="shared" si="19"/>
        <v>16018101.569999998</v>
      </c>
      <c r="K88" s="169">
        <f t="shared" si="19"/>
        <v>20517431.639999997</v>
      </c>
      <c r="L88" s="169">
        <f t="shared" si="19"/>
        <v>24223687.229999997</v>
      </c>
      <c r="M88" s="169">
        <f t="shared" si="19"/>
        <v>25848629.389999997</v>
      </c>
      <c r="N88" s="169">
        <f t="shared" si="19"/>
        <v>27970098.849999998</v>
      </c>
      <c r="O88" s="169">
        <f t="shared" si="19"/>
        <v>29251223.839999996</v>
      </c>
      <c r="Q88" s="122">
        <v>3679515.5599999987</v>
      </c>
      <c r="R88" s="122">
        <v>4151799.540000001</v>
      </c>
      <c r="S88" s="122">
        <v>1431071.4</v>
      </c>
      <c r="T88" s="122">
        <v>2266212.0999999992</v>
      </c>
      <c r="U88" s="122">
        <v>1278431.9599999997</v>
      </c>
      <c r="V88" s="122">
        <v>1288539.3199999994</v>
      </c>
      <c r="W88" s="122">
        <v>1922531.6899999997</v>
      </c>
      <c r="X88" s="122">
        <v>4499330.0699999994</v>
      </c>
      <c r="Y88" s="122">
        <v>3706255.5900000003</v>
      </c>
      <c r="Z88" s="122">
        <v>1624942.1599999997</v>
      </c>
      <c r="AA88" s="122">
        <v>2121469.46</v>
      </c>
      <c r="AB88" s="122">
        <v>1281124.9899999998</v>
      </c>
    </row>
    <row r="89" spans="2:28"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</row>
    <row r="90" spans="2:28"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</row>
    <row r="91" spans="2:28"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</row>
    <row r="92" spans="2:28"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</row>
    <row r="93" spans="2:28"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</row>
    <row r="94" spans="2:28"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</row>
    <row r="95" spans="2:28"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</row>
    <row r="96" spans="2:28"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</row>
    <row r="97" spans="3:15"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</row>
    <row r="98" spans="3:15"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</row>
    <row r="99" spans="3:15"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</row>
    <row r="100" spans="3:15"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</row>
    <row r="101" spans="3:15"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</row>
    <row r="102" spans="3:15"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</row>
    <row r="103" spans="3:15"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</row>
    <row r="104" spans="3:15"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</row>
    <row r="105" spans="3:15"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</row>
    <row r="106" spans="3:15"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</row>
    <row r="107" spans="3:15"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</row>
    <row r="108" spans="3:15"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</row>
    <row r="109" spans="3:15"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</row>
    <row r="110" spans="3:15"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</row>
    <row r="111" spans="3:15"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</row>
    <row r="112" spans="3:15"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</row>
    <row r="113" spans="2:28"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</row>
    <row r="114" spans="2:28"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</row>
    <row r="115" spans="2:28"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</row>
    <row r="116" spans="2:28"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</row>
    <row r="117" spans="2:28"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</row>
    <row r="118" spans="2:28" ht="22.8">
      <c r="B118" s="172" t="s">
        <v>10</v>
      </c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</row>
    <row r="119" spans="2:28">
      <c r="C119" s="169"/>
      <c r="D119" s="169" t="s">
        <v>458</v>
      </c>
      <c r="E119" s="169" t="s">
        <v>459</v>
      </c>
      <c r="F119" s="169" t="s">
        <v>460</v>
      </c>
      <c r="G119" s="169" t="s">
        <v>461</v>
      </c>
      <c r="H119" s="169" t="s">
        <v>462</v>
      </c>
      <c r="I119" s="169" t="s">
        <v>463</v>
      </c>
      <c r="J119" s="169" t="s">
        <v>464</v>
      </c>
      <c r="K119" s="169" t="s">
        <v>466</v>
      </c>
      <c r="L119" s="169" t="s">
        <v>465</v>
      </c>
      <c r="M119" s="169" t="s">
        <v>467</v>
      </c>
      <c r="N119" s="169" t="s">
        <v>472</v>
      </c>
      <c r="O119" s="169" t="s">
        <v>469</v>
      </c>
      <c r="P119" s="169"/>
    </row>
    <row r="120" spans="2:28">
      <c r="B120" s="167" t="s">
        <v>470</v>
      </c>
      <c r="C120" s="169"/>
      <c r="D120" s="169">
        <f>+D39</f>
        <v>2696537.9585256409</v>
      </c>
      <c r="E120" s="169">
        <f t="shared" ref="E120:O120" si="20">+E39+D120</f>
        <v>5393075.9170512818</v>
      </c>
      <c r="F120" s="169">
        <f t="shared" si="20"/>
        <v>8871654.6244230773</v>
      </c>
      <c r="G120" s="169">
        <f t="shared" si="20"/>
        <v>11568192.582948718</v>
      </c>
      <c r="H120" s="169">
        <f t="shared" si="20"/>
        <v>14264730.541474359</v>
      </c>
      <c r="I120" s="169">
        <f t="shared" si="20"/>
        <v>16961268.5</v>
      </c>
      <c r="J120" s="169">
        <f t="shared" si="20"/>
        <v>19657806.458525643</v>
      </c>
      <c r="K120" s="169">
        <f t="shared" si="20"/>
        <v>22354344.417051286</v>
      </c>
      <c r="L120" s="169">
        <f t="shared" si="20"/>
        <v>25832923.124423079</v>
      </c>
      <c r="M120" s="169">
        <f t="shared" si="20"/>
        <v>28529461.082948722</v>
      </c>
      <c r="N120" s="169">
        <f t="shared" si="20"/>
        <v>31225999.041474365</v>
      </c>
      <c r="O120" s="169">
        <f t="shared" si="20"/>
        <v>33964537.000000007</v>
      </c>
      <c r="P120" s="169"/>
    </row>
    <row r="121" spans="2:28">
      <c r="B121" s="167" t="s">
        <v>300</v>
      </c>
      <c r="C121" s="169"/>
      <c r="D121" s="169">
        <f>+Q121</f>
        <v>2674081.5299999844</v>
      </c>
      <c r="E121" s="169">
        <f t="shared" ref="E121:K121" si="21">+D121+R121</f>
        <v>5101179.6699999776</v>
      </c>
      <c r="F121" s="169">
        <f t="shared" si="21"/>
        <v>8213155.75999997</v>
      </c>
      <c r="G121" s="169">
        <f t="shared" si="21"/>
        <v>10589885.359999962</v>
      </c>
      <c r="H121" s="169">
        <f t="shared" si="21"/>
        <v>13144218.009999953</v>
      </c>
      <c r="I121" s="169">
        <f t="shared" si="21"/>
        <v>15564505.119999949</v>
      </c>
      <c r="J121" s="169">
        <f t="shared" si="21"/>
        <v>17930605.119999949</v>
      </c>
      <c r="K121" s="169">
        <f t="shared" si="21"/>
        <v>20282832.119999949</v>
      </c>
      <c r="L121" s="169"/>
      <c r="M121" s="169"/>
      <c r="N121" s="169"/>
      <c r="O121" s="169"/>
      <c r="Q121" s="122">
        <v>2674081.5299999844</v>
      </c>
      <c r="R121" s="122">
        <v>2427098.1399999927</v>
      </c>
      <c r="S121" s="122">
        <v>3111976.0899999919</v>
      </c>
      <c r="T121" s="122">
        <v>2376729.5999999931</v>
      </c>
      <c r="U121" s="122">
        <v>2554332.6499999906</v>
      </c>
      <c r="V121" s="122">
        <v>2420287.1099999957</v>
      </c>
      <c r="W121" s="167">
        <v>2366100</v>
      </c>
      <c r="X121" s="167">
        <v>2352227</v>
      </c>
    </row>
    <row r="122" spans="2:28">
      <c r="B122" s="167" t="str">
        <f>+B87</f>
        <v>Fiscal Year 2021</v>
      </c>
      <c r="C122" s="169"/>
      <c r="D122" s="169">
        <f>+Q122</f>
        <v>2444785.4799999935</v>
      </c>
      <c r="E122" s="169">
        <f>+D122+R122</f>
        <v>4784172.8399999887</v>
      </c>
      <c r="F122" s="169">
        <f t="shared" ref="F122:O122" si="22">+E122+S122</f>
        <v>7985312.5599999689</v>
      </c>
      <c r="G122" s="169">
        <f t="shared" si="22"/>
        <v>10497441.209999954</v>
      </c>
      <c r="H122" s="169">
        <f t="shared" si="22"/>
        <v>12860526.059999939</v>
      </c>
      <c r="I122" s="169">
        <f t="shared" si="22"/>
        <v>15312151.019999927</v>
      </c>
      <c r="J122" s="169">
        <f t="shared" si="22"/>
        <v>17678376.229999918</v>
      </c>
      <c r="K122" s="169">
        <f t="shared" si="22"/>
        <v>20041954.609999914</v>
      </c>
      <c r="L122" s="169">
        <f t="shared" si="22"/>
        <v>23384994.7299999</v>
      </c>
      <c r="M122" s="169">
        <f t="shared" si="22"/>
        <v>25815480.739999894</v>
      </c>
      <c r="N122" s="169">
        <f t="shared" si="22"/>
        <v>28273896.98999989</v>
      </c>
      <c r="O122" s="169">
        <f t="shared" si="22"/>
        <v>31091105.139999881</v>
      </c>
      <c r="Q122" s="122">
        <v>2444785.4799999935</v>
      </c>
      <c r="R122" s="122">
        <v>2339387.3599999947</v>
      </c>
      <c r="S122" s="122">
        <v>3201139.7199999797</v>
      </c>
      <c r="T122" s="122">
        <v>2512128.6499999855</v>
      </c>
      <c r="U122" s="122">
        <v>2363084.8499999847</v>
      </c>
      <c r="V122" s="122">
        <v>2451624.9599999883</v>
      </c>
      <c r="W122" s="122">
        <v>2366225.2099999902</v>
      </c>
      <c r="X122" s="122">
        <v>2363578.3799999938</v>
      </c>
      <c r="Y122" s="122">
        <v>3343040.1199999852</v>
      </c>
      <c r="Z122" s="122">
        <v>2430486.0099999928</v>
      </c>
      <c r="AA122" s="122">
        <v>2458416.2499999949</v>
      </c>
      <c r="AB122" s="122">
        <v>2817208.1499999906</v>
      </c>
    </row>
    <row r="123" spans="2:28">
      <c r="B123" s="167" t="str">
        <f>+B88</f>
        <v>Fiscal Year 2020</v>
      </c>
      <c r="C123" s="169"/>
      <c r="D123" s="169">
        <f>+Q123</f>
        <v>2268742.1300000004</v>
      </c>
      <c r="E123" s="169">
        <f t="shared" ref="E123:O123" si="23">+D123+R123</f>
        <v>4394954.3800000008</v>
      </c>
      <c r="F123" s="169">
        <f t="shared" si="23"/>
        <v>6668671.2300000004</v>
      </c>
      <c r="G123" s="169">
        <f t="shared" si="23"/>
        <v>9555948.2400000058</v>
      </c>
      <c r="H123" s="169">
        <f t="shared" si="23"/>
        <v>11693402.170000009</v>
      </c>
      <c r="I123" s="169">
        <f t="shared" si="23"/>
        <v>13854813.340000009</v>
      </c>
      <c r="J123" s="169">
        <f t="shared" si="23"/>
        <v>15954930.760000013</v>
      </c>
      <c r="K123" s="169">
        <f t="shared" si="23"/>
        <v>18252456.820000011</v>
      </c>
      <c r="L123" s="169">
        <f t="shared" si="23"/>
        <v>20742945.800000008</v>
      </c>
      <c r="M123" s="169">
        <f t="shared" si="23"/>
        <v>23852161.440000013</v>
      </c>
      <c r="N123" s="169">
        <f t="shared" si="23"/>
        <v>26269648.81000001</v>
      </c>
      <c r="O123" s="169">
        <f t="shared" si="23"/>
        <v>29001345.340000007</v>
      </c>
      <c r="Q123" s="122">
        <v>2268742.1300000004</v>
      </c>
      <c r="R123" s="122">
        <v>2126212.2500000009</v>
      </c>
      <c r="S123" s="122">
        <v>2273716.8499999992</v>
      </c>
      <c r="T123" s="122">
        <v>2887277.0100000049</v>
      </c>
      <c r="U123" s="122">
        <v>2137453.9300000034</v>
      </c>
      <c r="V123" s="122">
        <v>2161411.17</v>
      </c>
      <c r="W123" s="122">
        <v>2100117.4200000032</v>
      </c>
      <c r="X123" s="122">
        <v>2297526.0599999987</v>
      </c>
      <c r="Y123" s="122">
        <v>2490488.9799999977</v>
      </c>
      <c r="Z123" s="122">
        <v>3109215.6400000053</v>
      </c>
      <c r="AA123" s="122">
        <v>2417487.3699999959</v>
      </c>
      <c r="AB123" s="122">
        <v>2731696.5299999989</v>
      </c>
    </row>
    <row r="124" spans="2:28">
      <c r="C124" s="169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</row>
    <row r="125" spans="2:28">
      <c r="B125" s="173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</row>
    <row r="126" spans="2:28"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</row>
    <row r="127" spans="2:28">
      <c r="C127" s="169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</row>
    <row r="128" spans="2:28"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</row>
    <row r="129" spans="3:28"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</row>
    <row r="130" spans="3:28"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</row>
    <row r="131" spans="3:28"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</row>
    <row r="132" spans="3:28"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</row>
    <row r="133" spans="3:28"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</row>
    <row r="134" spans="3:28"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</row>
    <row r="135" spans="3:28"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</row>
    <row r="136" spans="3:28"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</row>
    <row r="137" spans="3:28">
      <c r="C137" s="169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</row>
    <row r="138" spans="3:28">
      <c r="C138" s="169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</row>
    <row r="139" spans="3:28"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</row>
    <row r="140" spans="3:28"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</row>
    <row r="141" spans="3:28"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</row>
    <row r="142" spans="3:28"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</row>
    <row r="143" spans="3:28"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</row>
    <row r="144" spans="3:28"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</row>
    <row r="145" spans="3:15"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</row>
    <row r="146" spans="3:15"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</row>
    <row r="147" spans="3:15"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</row>
    <row r="148" spans="3:15">
      <c r="C148" s="169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</row>
    <row r="149" spans="3:15"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</row>
    <row r="150" spans="3:15"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</row>
    <row r="151" spans="3:15">
      <c r="C151" s="169"/>
      <c r="D151" s="169"/>
      <c r="E151" s="169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</row>
    <row r="152" spans="3:15">
      <c r="C152" s="169"/>
      <c r="D152" s="169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</row>
    <row r="153" spans="3:15">
      <c r="C153" s="169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</row>
    <row r="154" spans="3:15">
      <c r="C154" s="169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</row>
    <row r="155" spans="3:15">
      <c r="C155" s="169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</row>
    <row r="156" spans="3:15">
      <c r="C156" s="169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</row>
    <row r="157" spans="3:15">
      <c r="C157" s="169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</row>
    <row r="158" spans="3:15">
      <c r="C158" s="169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</row>
    <row r="159" spans="3:15">
      <c r="C159" s="169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</row>
    <row r="160" spans="3:15"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</row>
    <row r="161" spans="3:15">
      <c r="C161" s="169"/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</row>
    <row r="162" spans="3:15">
      <c r="C162" s="169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</row>
    <row r="163" spans="3:15">
      <c r="C163" s="169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</row>
    <row r="164" spans="3:15">
      <c r="C164" s="169"/>
      <c r="D164" s="169"/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</row>
    <row r="165" spans="3:15"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</row>
    <row r="166" spans="3:15">
      <c r="C166" s="169"/>
      <c r="D166" s="169"/>
      <c r="E166" s="169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</row>
    <row r="167" spans="3:15"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</row>
    <row r="168" spans="3:15">
      <c r="C168" s="169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</row>
    <row r="169" spans="3:15"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</row>
    <row r="170" spans="3:15">
      <c r="C170" s="169"/>
      <c r="D170" s="169"/>
      <c r="E170" s="169"/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</row>
    <row r="171" spans="3:15">
      <c r="C171" s="169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</row>
    <row r="172" spans="3:15">
      <c r="C172" s="169"/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</row>
    <row r="173" spans="3:15">
      <c r="C173" s="169"/>
      <c r="D173" s="169"/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</row>
    <row r="174" spans="3:15">
      <c r="C174" s="169"/>
      <c r="D174" s="169"/>
      <c r="E174" s="169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</row>
    <row r="175" spans="3:15"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</row>
    <row r="176" spans="3:15">
      <c r="C176" s="169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</row>
    <row r="177" spans="3:15">
      <c r="C177" s="169"/>
      <c r="D177" s="169"/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</row>
    <row r="178" spans="3:15">
      <c r="C178" s="169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</row>
    <row r="179" spans="3:15">
      <c r="C179" s="169"/>
      <c r="D179" s="169"/>
      <c r="E179" s="169"/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</row>
    <row r="180" spans="3:15">
      <c r="C180" s="169"/>
      <c r="D180" s="169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</row>
    <row r="181" spans="3:15">
      <c r="C181" s="169"/>
      <c r="D181" s="169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</row>
    <row r="182" spans="3:15"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</row>
    <row r="183" spans="3:15">
      <c r="C183" s="169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</row>
    <row r="184" spans="3:15">
      <c r="C184" s="169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</row>
    <row r="185" spans="3:15"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</row>
    <row r="186" spans="3:15"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</row>
    <row r="187" spans="3:15"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</row>
    <row r="188" spans="3:15"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</row>
    <row r="189" spans="3:15"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</row>
    <row r="190" spans="3:15"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</row>
    <row r="191" spans="3:15"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</row>
    <row r="192" spans="3:15"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</row>
    <row r="193" spans="3:15"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</row>
    <row r="194" spans="3:15"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</row>
    <row r="195" spans="3:15"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</row>
    <row r="196" spans="3:15"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</row>
    <row r="197" spans="3:15">
      <c r="C197" s="169"/>
      <c r="D197" s="169"/>
      <c r="E197" s="169"/>
      <c r="F197" s="169"/>
      <c r="G197" s="169"/>
      <c r="H197" s="169"/>
      <c r="I197" s="169"/>
      <c r="J197" s="169"/>
      <c r="K197" s="169"/>
      <c r="L197" s="169"/>
      <c r="M197" s="169"/>
      <c r="N197" s="169"/>
      <c r="O197" s="169"/>
    </row>
    <row r="198" spans="3:15">
      <c r="C198" s="169"/>
      <c r="D198" s="169"/>
      <c r="E198" s="169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</row>
    <row r="199" spans="3:15"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</row>
    <row r="200" spans="3:15">
      <c r="C200" s="169"/>
      <c r="D200" s="169"/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</row>
    <row r="201" spans="3:15">
      <c r="C201" s="169"/>
      <c r="D201" s="169"/>
      <c r="E201" s="169"/>
      <c r="F201" s="169"/>
      <c r="G201" s="169"/>
      <c r="H201" s="169"/>
      <c r="I201" s="169"/>
      <c r="J201" s="169"/>
      <c r="K201" s="169"/>
      <c r="L201" s="169"/>
      <c r="M201" s="169"/>
      <c r="N201" s="169"/>
      <c r="O201" s="169"/>
    </row>
    <row r="202" spans="3:15">
      <c r="C202" s="169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</row>
    <row r="203" spans="3:15">
      <c r="C203" s="169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</row>
    <row r="204" spans="3:15">
      <c r="C204" s="169"/>
      <c r="D204" s="169"/>
      <c r="E204" s="169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</row>
    <row r="205" spans="3:15">
      <c r="C205" s="169"/>
      <c r="D205" s="169"/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</row>
    <row r="206" spans="3:15">
      <c r="C206" s="169"/>
      <c r="D206" s="169"/>
      <c r="E206" s="169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</row>
    <row r="207" spans="3:15">
      <c r="C207" s="169"/>
      <c r="D207" s="169"/>
      <c r="E207" s="169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</row>
    <row r="208" spans="3:15">
      <c r="C208" s="169"/>
      <c r="D208" s="169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</row>
    <row r="209" spans="3:15">
      <c r="C209" s="169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</row>
    <row r="210" spans="3:15">
      <c r="C210" s="169"/>
      <c r="D210" s="169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</row>
    <row r="211" spans="3:15">
      <c r="C211" s="169"/>
      <c r="D211" s="169"/>
      <c r="E211" s="169"/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</row>
    <row r="212" spans="3:15">
      <c r="C212" s="169"/>
      <c r="D212" s="169"/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</row>
    <row r="213" spans="3:15">
      <c r="C213" s="169"/>
      <c r="D213" s="169"/>
      <c r="E213" s="169"/>
      <c r="F213" s="169"/>
      <c r="G213" s="169"/>
      <c r="H213" s="169"/>
      <c r="I213" s="169"/>
      <c r="J213" s="169"/>
      <c r="K213" s="169"/>
      <c r="L213" s="169"/>
      <c r="M213" s="169"/>
      <c r="N213" s="169"/>
      <c r="O213" s="169"/>
    </row>
    <row r="214" spans="3:15">
      <c r="C214" s="169"/>
      <c r="D214" s="169"/>
      <c r="E214" s="169"/>
      <c r="F214" s="169"/>
      <c r="G214" s="169"/>
      <c r="H214" s="169"/>
      <c r="I214" s="169"/>
      <c r="J214" s="169"/>
      <c r="K214" s="169"/>
      <c r="L214" s="169"/>
      <c r="M214" s="169"/>
      <c r="N214" s="169"/>
      <c r="O214" s="169"/>
    </row>
    <row r="215" spans="3:15">
      <c r="C215" s="169"/>
      <c r="D215" s="169"/>
      <c r="E215" s="169"/>
      <c r="F215" s="169"/>
      <c r="G215" s="169"/>
      <c r="H215" s="169"/>
      <c r="I215" s="169"/>
      <c r="J215" s="169"/>
      <c r="K215" s="169"/>
      <c r="L215" s="169"/>
      <c r="M215" s="169"/>
      <c r="N215" s="169"/>
      <c r="O215" s="169"/>
    </row>
    <row r="216" spans="3:15">
      <c r="C216" s="169"/>
      <c r="D216" s="169"/>
      <c r="E216" s="169"/>
      <c r="F216" s="169"/>
      <c r="G216" s="169"/>
      <c r="H216" s="169"/>
      <c r="I216" s="169"/>
      <c r="J216" s="169"/>
      <c r="K216" s="169"/>
      <c r="L216" s="169"/>
      <c r="M216" s="169"/>
      <c r="N216" s="169"/>
      <c r="O216" s="169"/>
    </row>
    <row r="217" spans="3:15">
      <c r="C217" s="169"/>
      <c r="D217" s="169"/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</row>
    <row r="218" spans="3:15">
      <c r="C218" s="169"/>
      <c r="D218" s="169"/>
      <c r="E218" s="169"/>
      <c r="F218" s="169"/>
      <c r="G218" s="169"/>
      <c r="H218" s="169"/>
      <c r="I218" s="169"/>
      <c r="J218" s="169"/>
      <c r="K218" s="169"/>
      <c r="L218" s="169"/>
      <c r="M218" s="169"/>
      <c r="N218" s="169"/>
      <c r="O218" s="169"/>
    </row>
    <row r="219" spans="3:15">
      <c r="C219" s="169"/>
      <c r="D219" s="169"/>
      <c r="E219" s="169"/>
      <c r="F219" s="169"/>
      <c r="G219" s="169"/>
      <c r="H219" s="169"/>
      <c r="I219" s="169"/>
      <c r="J219" s="169"/>
      <c r="K219" s="169"/>
      <c r="L219" s="169"/>
      <c r="M219" s="169"/>
      <c r="N219" s="169"/>
      <c r="O219" s="169"/>
    </row>
    <row r="220" spans="3:15">
      <c r="C220" s="169"/>
      <c r="D220" s="169"/>
      <c r="E220" s="169"/>
      <c r="F220" s="169"/>
      <c r="G220" s="169"/>
      <c r="H220" s="169"/>
      <c r="I220" s="169"/>
      <c r="J220" s="169"/>
      <c r="K220" s="169"/>
      <c r="L220" s="169"/>
      <c r="M220" s="169"/>
      <c r="N220" s="169"/>
      <c r="O220" s="169"/>
    </row>
    <row r="221" spans="3:15"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</row>
    <row r="222" spans="3:15">
      <c r="C222" s="169"/>
      <c r="D222" s="169"/>
      <c r="E222" s="169"/>
      <c r="F222" s="169"/>
      <c r="G222" s="169"/>
      <c r="H222" s="169"/>
      <c r="I222" s="169"/>
      <c r="J222" s="169"/>
      <c r="K222" s="169"/>
      <c r="L222" s="169"/>
      <c r="M222" s="169"/>
      <c r="N222" s="169"/>
      <c r="O222" s="169"/>
    </row>
    <row r="223" spans="3:15">
      <c r="C223" s="169"/>
      <c r="D223" s="169"/>
      <c r="E223" s="169"/>
      <c r="F223" s="169"/>
      <c r="G223" s="169"/>
      <c r="H223" s="169"/>
      <c r="I223" s="169"/>
      <c r="J223" s="169"/>
      <c r="K223" s="169"/>
      <c r="L223" s="169"/>
      <c r="M223" s="169"/>
      <c r="N223" s="169"/>
      <c r="O223" s="169"/>
    </row>
    <row r="224" spans="3:15">
      <c r="C224" s="169"/>
      <c r="D224" s="169"/>
      <c r="E224" s="169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</row>
    <row r="225" spans="3:15">
      <c r="C225" s="169"/>
      <c r="D225" s="169"/>
      <c r="E225" s="169"/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</row>
    <row r="226" spans="3:15">
      <c r="C226" s="169"/>
      <c r="D226" s="169"/>
      <c r="E226" s="169"/>
      <c r="F226" s="169"/>
      <c r="G226" s="169"/>
      <c r="H226" s="169"/>
      <c r="I226" s="169"/>
      <c r="J226" s="169"/>
      <c r="K226" s="169"/>
      <c r="L226" s="169"/>
      <c r="M226" s="169"/>
      <c r="N226" s="169"/>
      <c r="O226" s="169"/>
    </row>
    <row r="227" spans="3:15">
      <c r="C227" s="169"/>
      <c r="D227" s="169"/>
      <c r="E227" s="169"/>
      <c r="F227" s="169"/>
      <c r="G227" s="169"/>
      <c r="H227" s="169"/>
      <c r="I227" s="169"/>
      <c r="J227" s="169"/>
      <c r="K227" s="169"/>
      <c r="L227" s="169"/>
      <c r="M227" s="169"/>
      <c r="N227" s="169"/>
      <c r="O227" s="169"/>
    </row>
    <row r="228" spans="3:15">
      <c r="C228" s="169"/>
      <c r="D228" s="169"/>
      <c r="E228" s="169"/>
      <c r="F228" s="169"/>
      <c r="G228" s="169"/>
      <c r="H228" s="169"/>
      <c r="I228" s="169"/>
      <c r="J228" s="169"/>
      <c r="K228" s="169"/>
      <c r="L228" s="169"/>
      <c r="M228" s="169"/>
      <c r="N228" s="169"/>
      <c r="O228" s="169"/>
    </row>
    <row r="229" spans="3:15">
      <c r="C229" s="169"/>
      <c r="D229" s="169"/>
      <c r="E229" s="169"/>
      <c r="F229" s="169"/>
      <c r="G229" s="169"/>
      <c r="H229" s="169"/>
      <c r="I229" s="169"/>
      <c r="J229" s="169"/>
      <c r="K229" s="169"/>
      <c r="L229" s="169"/>
      <c r="M229" s="169"/>
      <c r="N229" s="169"/>
      <c r="O229" s="169"/>
    </row>
    <row r="230" spans="3:15">
      <c r="C230" s="169"/>
      <c r="D230" s="169"/>
      <c r="E230" s="169"/>
      <c r="F230" s="169"/>
      <c r="G230" s="169"/>
      <c r="H230" s="169"/>
      <c r="I230" s="169"/>
      <c r="J230" s="169"/>
      <c r="K230" s="169"/>
      <c r="L230" s="169"/>
      <c r="M230" s="169"/>
      <c r="N230" s="169"/>
      <c r="O230" s="169"/>
    </row>
  </sheetData>
  <mergeCells count="3">
    <mergeCell ref="B43:O43"/>
    <mergeCell ref="B44:O44"/>
    <mergeCell ref="B45:O45"/>
  </mergeCells>
  <pageMargins left="0.7" right="0.7" top="0.75" bottom="0.75" header="0.3" footer="0.3"/>
  <pageSetup scale="4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T68"/>
  <sheetViews>
    <sheetView workbookViewId="0">
      <selection activeCell="D9" sqref="D9"/>
    </sheetView>
  </sheetViews>
  <sheetFormatPr defaultColWidth="9.109375" defaultRowHeight="13.2"/>
  <cols>
    <col min="1" max="16384" width="9.109375" style="151"/>
  </cols>
  <sheetData>
    <row r="1" spans="1:20" ht="14.4">
      <c r="A1" s="151" t="s">
        <v>457</v>
      </c>
      <c r="B1" s="151">
        <v>2019</v>
      </c>
      <c r="C1" s="151">
        <v>2020</v>
      </c>
      <c r="D1" s="151">
        <v>2021</v>
      </c>
      <c r="E1" s="151" t="s">
        <v>939</v>
      </c>
      <c r="F1" s="151">
        <v>2022</v>
      </c>
      <c r="P1" s="680">
        <f>+B1</f>
        <v>2019</v>
      </c>
      <c r="Q1" s="680">
        <f>+C1</f>
        <v>2020</v>
      </c>
      <c r="S1" s="680">
        <f>+P1</f>
        <v>2019</v>
      </c>
      <c r="T1" s="680">
        <f>+Q1</f>
        <v>2020</v>
      </c>
    </row>
    <row r="2" spans="1:20">
      <c r="A2" s="151">
        <v>1.01</v>
      </c>
      <c r="B2" s="151">
        <v>9157706</v>
      </c>
      <c r="C2" s="151">
        <v>9425875</v>
      </c>
      <c r="D2" s="151">
        <v>9865381</v>
      </c>
      <c r="E2" s="151">
        <v>3.8</v>
      </c>
      <c r="F2" s="151">
        <v>10261880</v>
      </c>
      <c r="P2" s="151">
        <f>+'Prior-CSV'!D11</f>
        <v>9157706</v>
      </c>
      <c r="Q2" s="151">
        <f>+'Prior-CSV'!E11</f>
        <v>9425875</v>
      </c>
      <c r="S2" s="151">
        <f>+B2-P2</f>
        <v>0</v>
      </c>
      <c r="T2" s="151">
        <f t="shared" ref="T2:T41" si="0">+C2-Q2</f>
        <v>0</v>
      </c>
    </row>
    <row r="3" spans="1:20">
      <c r="A3" s="151">
        <v>1.02</v>
      </c>
      <c r="B3" s="151">
        <v>1240772</v>
      </c>
      <c r="C3" s="151">
        <v>1461169</v>
      </c>
      <c r="D3" s="151">
        <v>1654190</v>
      </c>
      <c r="E3" s="151">
        <v>15.5</v>
      </c>
      <c r="F3" s="151">
        <v>1732923</v>
      </c>
      <c r="P3" s="151">
        <f>+'Prior-CSV'!D12</f>
        <v>1240772</v>
      </c>
      <c r="Q3" s="151">
        <f>+'Prior-CSV'!E12</f>
        <v>1461169</v>
      </c>
      <c r="S3" s="151">
        <f t="shared" ref="S3:S41" si="1">+B3-P3</f>
        <v>0</v>
      </c>
      <c r="T3" s="151">
        <f t="shared" si="0"/>
        <v>0</v>
      </c>
    </row>
    <row r="4" spans="1:20">
      <c r="A4" s="151">
        <v>1.03</v>
      </c>
      <c r="B4" s="151">
        <v>0</v>
      </c>
      <c r="C4" s="151">
        <v>0</v>
      </c>
      <c r="E4" s="151">
        <v>0</v>
      </c>
      <c r="P4" s="151">
        <f>+'Prior-CSV'!D13</f>
        <v>0</v>
      </c>
      <c r="Q4" s="151">
        <f>+'Prior-CSV'!E13</f>
        <v>0</v>
      </c>
      <c r="S4" s="151">
        <f t="shared" si="1"/>
        <v>0</v>
      </c>
      <c r="T4" s="151">
        <f t="shared" si="0"/>
        <v>0</v>
      </c>
    </row>
    <row r="5" spans="1:20">
      <c r="A5" s="151">
        <v>1.0349999999999999</v>
      </c>
      <c r="B5" s="151">
        <v>18345074</v>
      </c>
      <c r="C5" s="151">
        <v>17717074</v>
      </c>
      <c r="D5" s="151">
        <v>17960616</v>
      </c>
      <c r="E5" s="151">
        <v>-1</v>
      </c>
      <c r="F5" s="151">
        <v>17908931</v>
      </c>
      <c r="P5" s="151">
        <f>+'Prior-CSV'!D14</f>
        <v>18345074</v>
      </c>
      <c r="Q5" s="151">
        <f>+'Prior-CSV'!E14</f>
        <v>17717074</v>
      </c>
      <c r="S5" s="151">
        <f t="shared" si="1"/>
        <v>0</v>
      </c>
      <c r="T5" s="151">
        <f t="shared" si="0"/>
        <v>0</v>
      </c>
    </row>
    <row r="6" spans="1:20">
      <c r="A6" s="151">
        <v>1.04</v>
      </c>
      <c r="B6" s="151">
        <v>1503597</v>
      </c>
      <c r="C6" s="151">
        <v>1545375</v>
      </c>
      <c r="D6" s="151">
        <v>1545371</v>
      </c>
      <c r="E6" s="151">
        <v>1.4</v>
      </c>
      <c r="F6" s="151">
        <v>1545371</v>
      </c>
      <c r="P6" s="151">
        <f>+'Prior-CSV'!D15</f>
        <v>1503597</v>
      </c>
      <c r="Q6" s="151">
        <f>+'Prior-CSV'!E15</f>
        <v>1545375</v>
      </c>
      <c r="S6" s="151">
        <f t="shared" si="1"/>
        <v>0</v>
      </c>
      <c r="T6" s="151">
        <f t="shared" si="0"/>
        <v>0</v>
      </c>
    </row>
    <row r="7" spans="1:20">
      <c r="A7" s="151">
        <v>1.0449999999999999</v>
      </c>
      <c r="B7" s="151">
        <v>0</v>
      </c>
      <c r="C7" s="151">
        <v>0</v>
      </c>
      <c r="E7" s="151">
        <v>0</v>
      </c>
      <c r="P7" s="151">
        <f>+'Prior-CSV'!D16</f>
        <v>0</v>
      </c>
      <c r="Q7" s="151">
        <f>+'Prior-CSV'!E16</f>
        <v>0</v>
      </c>
      <c r="S7" s="151">
        <f t="shared" si="1"/>
        <v>0</v>
      </c>
      <c r="T7" s="151">
        <f t="shared" si="0"/>
        <v>0</v>
      </c>
    </row>
    <row r="8" spans="1:20">
      <c r="A8" s="151">
        <v>1.05</v>
      </c>
      <c r="B8" s="151">
        <v>2668596</v>
      </c>
      <c r="C8" s="151">
        <v>2465279</v>
      </c>
      <c r="D8" s="151">
        <v>2241868</v>
      </c>
      <c r="E8" s="151">
        <v>-8.3000000000000007</v>
      </c>
      <c r="F8" s="151">
        <v>2061485</v>
      </c>
      <c r="P8" s="151">
        <f>+'Prior-CSV'!D17</f>
        <v>2668596</v>
      </c>
      <c r="Q8" s="151">
        <f>+'Prior-CSV'!E17</f>
        <v>2465279</v>
      </c>
      <c r="S8" s="151">
        <f t="shared" si="1"/>
        <v>0</v>
      </c>
      <c r="T8" s="151">
        <f t="shared" si="0"/>
        <v>0</v>
      </c>
    </row>
    <row r="9" spans="1:20">
      <c r="A9" s="151">
        <v>1.06</v>
      </c>
      <c r="B9" s="151">
        <v>1900591</v>
      </c>
      <c r="C9" s="151">
        <v>2077305</v>
      </c>
      <c r="D9" s="151">
        <v>2137525</v>
      </c>
      <c r="E9" s="151">
        <v>6.1</v>
      </c>
      <c r="F9" s="151">
        <v>2090626</v>
      </c>
      <c r="P9" s="151">
        <f>+'Prior-CSV'!D18</f>
        <v>1900591</v>
      </c>
      <c r="Q9" s="151">
        <f>+'Prior-CSV'!E18</f>
        <v>2077305</v>
      </c>
      <c r="S9" s="151">
        <f t="shared" si="1"/>
        <v>0</v>
      </c>
      <c r="T9" s="151">
        <f t="shared" si="0"/>
        <v>0</v>
      </c>
    </row>
    <row r="10" spans="1:20">
      <c r="A10" s="151">
        <v>1.07</v>
      </c>
      <c r="B10" s="151">
        <v>34816336</v>
      </c>
      <c r="C10" s="151">
        <v>34692077</v>
      </c>
      <c r="D10" s="151">
        <v>35404951</v>
      </c>
      <c r="E10" s="151">
        <v>0.8</v>
      </c>
      <c r="F10" s="151">
        <v>35601216</v>
      </c>
      <c r="P10" s="151">
        <f>+'Prior-CSV'!D19</f>
        <v>34816336</v>
      </c>
      <c r="Q10" s="151">
        <f>+'Prior-CSV'!E19</f>
        <v>34692077</v>
      </c>
      <c r="S10" s="151">
        <f t="shared" si="1"/>
        <v>0</v>
      </c>
      <c r="T10" s="151">
        <f t="shared" si="0"/>
        <v>0</v>
      </c>
    </row>
    <row r="11" spans="1:20">
      <c r="A11" s="151">
        <v>2.0099999999999998</v>
      </c>
      <c r="B11" s="151">
        <v>0</v>
      </c>
      <c r="C11" s="151">
        <v>0</v>
      </c>
      <c r="E11" s="151">
        <v>0</v>
      </c>
      <c r="P11" s="151">
        <f>+'Prior-CSV'!D22</f>
        <v>0</v>
      </c>
      <c r="Q11" s="151">
        <f>+'Prior-CSV'!E22</f>
        <v>0</v>
      </c>
      <c r="S11" s="151">
        <f t="shared" si="1"/>
        <v>0</v>
      </c>
      <c r="T11" s="151">
        <f t="shared" si="0"/>
        <v>0</v>
      </c>
    </row>
    <row r="12" spans="1:20">
      <c r="A12" s="151">
        <v>2.02</v>
      </c>
      <c r="B12" s="151">
        <v>0</v>
      </c>
      <c r="C12" s="151">
        <v>0</v>
      </c>
      <c r="E12" s="151">
        <v>0</v>
      </c>
      <c r="P12" s="151">
        <f>+'Prior-CSV'!D23</f>
        <v>0</v>
      </c>
      <c r="Q12" s="151">
        <f>+'Prior-CSV'!E23</f>
        <v>0</v>
      </c>
      <c r="S12" s="151">
        <f t="shared" si="1"/>
        <v>0</v>
      </c>
      <c r="T12" s="151">
        <f t="shared" si="0"/>
        <v>0</v>
      </c>
    </row>
    <row r="13" spans="1:20">
      <c r="A13" s="151">
        <v>2.04</v>
      </c>
      <c r="B13" s="151">
        <v>15031</v>
      </c>
      <c r="C13" s="151">
        <v>0</v>
      </c>
      <c r="E13" s="151">
        <v>-50</v>
      </c>
      <c r="P13" s="151">
        <f>+'Prior-CSV'!D24</f>
        <v>15031</v>
      </c>
      <c r="Q13" s="151">
        <f>+'Prior-CSV'!E24</f>
        <v>0</v>
      </c>
      <c r="S13" s="151">
        <f t="shared" si="1"/>
        <v>0</v>
      </c>
      <c r="T13" s="151">
        <f t="shared" si="0"/>
        <v>0</v>
      </c>
    </row>
    <row r="14" spans="1:20">
      <c r="A14" s="151">
        <v>2.0499999999999998</v>
      </c>
      <c r="B14" s="151">
        <v>0</v>
      </c>
      <c r="C14" s="151">
        <v>3284</v>
      </c>
      <c r="E14" s="151">
        <v>-50</v>
      </c>
      <c r="F14" s="151">
        <v>102915</v>
      </c>
      <c r="P14" s="151">
        <f>+'Prior-CSV'!D25</f>
        <v>0</v>
      </c>
      <c r="Q14" s="151">
        <f>+'Prior-CSV'!E25</f>
        <v>3284</v>
      </c>
      <c r="S14" s="151">
        <f t="shared" si="1"/>
        <v>0</v>
      </c>
      <c r="T14" s="151">
        <f t="shared" si="0"/>
        <v>0</v>
      </c>
    </row>
    <row r="15" spans="1:20">
      <c r="A15" s="151">
        <v>2.06</v>
      </c>
      <c r="B15" s="151">
        <v>295270</v>
      </c>
      <c r="C15" s="151">
        <v>229040</v>
      </c>
      <c r="D15" s="151">
        <v>888651</v>
      </c>
      <c r="E15" s="151">
        <v>132.80000000000001</v>
      </c>
      <c r="F15" s="151">
        <v>263691</v>
      </c>
      <c r="P15" s="151">
        <f>+'Prior-CSV'!D26</f>
        <v>295270</v>
      </c>
      <c r="Q15" s="151">
        <f>+'Prior-CSV'!E26</f>
        <v>229040</v>
      </c>
      <c r="S15" s="151">
        <f t="shared" si="1"/>
        <v>0</v>
      </c>
      <c r="T15" s="151">
        <f t="shared" si="0"/>
        <v>0</v>
      </c>
    </row>
    <row r="16" spans="1:20">
      <c r="A16" s="151">
        <v>2.0699999999999998</v>
      </c>
      <c r="B16" s="151">
        <v>310301</v>
      </c>
      <c r="C16" s="151">
        <v>232324</v>
      </c>
      <c r="D16" s="151">
        <v>888651</v>
      </c>
      <c r="E16" s="151">
        <v>128.69999999999999</v>
      </c>
      <c r="F16" s="151">
        <v>366606</v>
      </c>
      <c r="P16" s="151">
        <f>+'Prior-CSV'!D27</f>
        <v>310301</v>
      </c>
      <c r="Q16" s="151">
        <f>+'Prior-CSV'!E27</f>
        <v>232324</v>
      </c>
      <c r="S16" s="151">
        <f t="shared" si="1"/>
        <v>0</v>
      </c>
      <c r="T16" s="151">
        <f t="shared" si="0"/>
        <v>0</v>
      </c>
    </row>
    <row r="17" spans="1:20">
      <c r="A17" s="151">
        <v>2.08</v>
      </c>
      <c r="B17" s="151">
        <v>35126637</v>
      </c>
      <c r="C17" s="151">
        <v>34924401</v>
      </c>
      <c r="D17" s="151">
        <v>36293602</v>
      </c>
      <c r="E17" s="151">
        <v>1.7</v>
      </c>
      <c r="F17" s="151">
        <v>35967822</v>
      </c>
      <c r="P17" s="151">
        <f>+'Prior-CSV'!D28</f>
        <v>35126637</v>
      </c>
      <c r="Q17" s="151">
        <f>+'Prior-CSV'!E28</f>
        <v>34924401</v>
      </c>
      <c r="S17" s="151">
        <f t="shared" si="1"/>
        <v>0</v>
      </c>
      <c r="T17" s="151">
        <f t="shared" si="0"/>
        <v>0</v>
      </c>
    </row>
    <row r="18" spans="1:20">
      <c r="A18" s="151">
        <v>3.01</v>
      </c>
      <c r="B18" s="151">
        <v>16205353</v>
      </c>
      <c r="C18" s="151">
        <v>16810475</v>
      </c>
      <c r="D18" s="151">
        <v>17188441</v>
      </c>
      <c r="E18" s="151">
        <v>3</v>
      </c>
      <c r="F18" s="151">
        <v>8604592</v>
      </c>
      <c r="P18" s="151">
        <f>+'Prior-CSV'!D31</f>
        <v>16205353</v>
      </c>
      <c r="Q18" s="151">
        <f>+'Prior-CSV'!E31</f>
        <v>16810475</v>
      </c>
      <c r="S18" s="151">
        <f t="shared" si="1"/>
        <v>0</v>
      </c>
      <c r="T18" s="151">
        <f t="shared" si="0"/>
        <v>0</v>
      </c>
    </row>
    <row r="19" spans="1:20">
      <c r="A19" s="151">
        <v>3.02</v>
      </c>
      <c r="B19" s="151">
        <v>9141807</v>
      </c>
      <c r="C19" s="151">
        <v>9594127</v>
      </c>
      <c r="D19" s="151">
        <v>10070631</v>
      </c>
      <c r="E19" s="151">
        <v>5</v>
      </c>
      <c r="F19" s="151">
        <v>5249030</v>
      </c>
      <c r="P19" s="151">
        <f>+'Prior-CSV'!D32</f>
        <v>9141807</v>
      </c>
      <c r="Q19" s="151">
        <f>+'Prior-CSV'!E32</f>
        <v>9594127</v>
      </c>
      <c r="S19" s="151">
        <f t="shared" si="1"/>
        <v>0</v>
      </c>
      <c r="T19" s="151">
        <f t="shared" si="0"/>
        <v>0</v>
      </c>
    </row>
    <row r="20" spans="1:20">
      <c r="A20" s="151">
        <v>3.03</v>
      </c>
      <c r="B20" s="151">
        <v>7217183</v>
      </c>
      <c r="C20" s="151">
        <v>7165014</v>
      </c>
      <c r="D20" s="151">
        <v>7401420</v>
      </c>
      <c r="E20" s="151">
        <v>1.3</v>
      </c>
      <c r="F20" s="151">
        <v>5724420</v>
      </c>
      <c r="P20" s="151">
        <f>+'Prior-CSV'!D33</f>
        <v>7217183</v>
      </c>
      <c r="Q20" s="151">
        <f>+'Prior-CSV'!E33</f>
        <v>7165014</v>
      </c>
      <c r="S20" s="151">
        <f t="shared" si="1"/>
        <v>0</v>
      </c>
      <c r="T20" s="151">
        <f t="shared" si="0"/>
        <v>0</v>
      </c>
    </row>
    <row r="21" spans="1:20">
      <c r="A21" s="151">
        <v>3.04</v>
      </c>
      <c r="B21" s="151">
        <v>914145</v>
      </c>
      <c r="C21" s="151">
        <v>929926</v>
      </c>
      <c r="D21" s="151">
        <v>906334</v>
      </c>
      <c r="E21" s="151">
        <v>-0.4</v>
      </c>
      <c r="F21" s="151">
        <v>781920</v>
      </c>
      <c r="P21" s="151">
        <f>+'Prior-CSV'!D34</f>
        <v>914145</v>
      </c>
      <c r="Q21" s="151">
        <f>+'Prior-CSV'!E34</f>
        <v>929926</v>
      </c>
      <c r="S21" s="151">
        <f t="shared" si="1"/>
        <v>0</v>
      </c>
      <c r="T21" s="151">
        <f t="shared" si="0"/>
        <v>0</v>
      </c>
    </row>
    <row r="22" spans="1:20">
      <c r="A22" s="151">
        <v>3.05</v>
      </c>
      <c r="B22" s="151">
        <v>615808</v>
      </c>
      <c r="C22" s="151">
        <v>505281</v>
      </c>
      <c r="D22" s="151">
        <v>221228</v>
      </c>
      <c r="E22" s="151">
        <v>-37.1</v>
      </c>
      <c r="F22" s="151">
        <v>242457</v>
      </c>
      <c r="P22" s="151">
        <f>+'Prior-CSV'!D35</f>
        <v>615808</v>
      </c>
      <c r="Q22" s="151">
        <f>+'Prior-CSV'!E35</f>
        <v>505281</v>
      </c>
      <c r="S22" s="151">
        <f t="shared" si="1"/>
        <v>0</v>
      </c>
      <c r="T22" s="151">
        <f t="shared" si="0"/>
        <v>0</v>
      </c>
    </row>
    <row r="23" spans="1:20">
      <c r="A23" s="151">
        <v>3.06</v>
      </c>
      <c r="B23" s="151">
        <v>0</v>
      </c>
      <c r="C23" s="151">
        <v>0</v>
      </c>
      <c r="E23" s="151">
        <v>0</v>
      </c>
      <c r="P23" s="151">
        <f>+'Prior-CSV'!D36</f>
        <v>0</v>
      </c>
      <c r="Q23" s="151">
        <f>+'Prior-CSV'!E36</f>
        <v>0</v>
      </c>
      <c r="S23" s="151">
        <f t="shared" si="1"/>
        <v>0</v>
      </c>
      <c r="T23" s="151">
        <f t="shared" si="0"/>
        <v>0</v>
      </c>
    </row>
    <row r="24" spans="1:20">
      <c r="A24" s="151">
        <v>4.01</v>
      </c>
      <c r="B24" s="151">
        <v>0</v>
      </c>
      <c r="C24" s="151">
        <v>0</v>
      </c>
      <c r="E24" s="151">
        <v>0</v>
      </c>
      <c r="P24" s="151">
        <f>+'Prior-CSV'!D38</f>
        <v>0</v>
      </c>
      <c r="Q24" s="151">
        <f>+'Prior-CSV'!E38</f>
        <v>0</v>
      </c>
      <c r="S24" s="151">
        <f t="shared" si="1"/>
        <v>0</v>
      </c>
      <c r="T24" s="151">
        <f t="shared" si="0"/>
        <v>0</v>
      </c>
    </row>
    <row r="25" spans="1:20">
      <c r="A25" s="151">
        <v>4.0199999999999996</v>
      </c>
      <c r="B25" s="151">
        <v>0</v>
      </c>
      <c r="C25" s="151">
        <v>0</v>
      </c>
      <c r="E25" s="151">
        <v>0</v>
      </c>
      <c r="P25" s="151">
        <f>+'Prior-CSV'!D39</f>
        <v>0</v>
      </c>
      <c r="Q25" s="151">
        <f>+'Prior-CSV'!E39</f>
        <v>0</v>
      </c>
      <c r="S25" s="151">
        <f t="shared" si="1"/>
        <v>0</v>
      </c>
      <c r="T25" s="151">
        <f t="shared" si="0"/>
        <v>0</v>
      </c>
    </row>
    <row r="26" spans="1:20">
      <c r="A26" s="151">
        <v>4.03</v>
      </c>
      <c r="B26" s="151">
        <v>0</v>
      </c>
      <c r="C26" s="151">
        <v>0</v>
      </c>
      <c r="E26" s="151">
        <v>0</v>
      </c>
      <c r="P26" s="151">
        <f>+'Prior-CSV'!D40</f>
        <v>0</v>
      </c>
      <c r="Q26" s="151">
        <f>+'Prior-CSV'!E40</f>
        <v>0</v>
      </c>
      <c r="S26" s="151">
        <f t="shared" si="1"/>
        <v>0</v>
      </c>
      <c r="T26" s="151">
        <f t="shared" si="0"/>
        <v>0</v>
      </c>
    </row>
    <row r="27" spans="1:20">
      <c r="A27" s="151">
        <v>4.04</v>
      </c>
      <c r="B27" s="151">
        <v>0</v>
      </c>
      <c r="C27" s="151">
        <v>0</v>
      </c>
      <c r="E27" s="151">
        <v>0</v>
      </c>
      <c r="P27" s="151">
        <f>+'Prior-CSV'!D41</f>
        <v>0</v>
      </c>
      <c r="Q27" s="151">
        <f>+'Prior-CSV'!E41</f>
        <v>0</v>
      </c>
      <c r="S27" s="151">
        <f t="shared" si="1"/>
        <v>0</v>
      </c>
      <c r="T27" s="151">
        <f t="shared" si="0"/>
        <v>0</v>
      </c>
    </row>
    <row r="28" spans="1:20">
      <c r="A28" s="151">
        <v>4.05</v>
      </c>
      <c r="B28" s="151">
        <v>0</v>
      </c>
      <c r="C28" s="151">
        <v>0</v>
      </c>
      <c r="E28" s="151">
        <v>0</v>
      </c>
      <c r="P28" s="151">
        <f>+'Prior-CSV'!D42</f>
        <v>0</v>
      </c>
      <c r="Q28" s="151">
        <f>+'Prior-CSV'!E42</f>
        <v>0</v>
      </c>
      <c r="S28" s="151">
        <f t="shared" si="1"/>
        <v>0</v>
      </c>
      <c r="T28" s="151">
        <f t="shared" si="0"/>
        <v>0</v>
      </c>
    </row>
    <row r="29" spans="1:20">
      <c r="A29" s="151">
        <v>4.0549999999999997</v>
      </c>
      <c r="B29" s="151">
        <v>0</v>
      </c>
      <c r="C29" s="151">
        <v>0</v>
      </c>
      <c r="E29" s="151">
        <v>0</v>
      </c>
      <c r="P29" s="151">
        <f>+'Prior-CSV'!D43</f>
        <v>0</v>
      </c>
      <c r="Q29" s="151">
        <f>+'Prior-CSV'!E43</f>
        <v>0</v>
      </c>
      <c r="S29" s="151">
        <f t="shared" si="1"/>
        <v>0</v>
      </c>
      <c r="T29" s="151">
        <f t="shared" si="0"/>
        <v>0</v>
      </c>
    </row>
    <row r="30" spans="1:20">
      <c r="A30" s="151">
        <v>4.0599999999999996</v>
      </c>
      <c r="B30" s="151">
        <v>0</v>
      </c>
      <c r="C30" s="151">
        <v>0</v>
      </c>
      <c r="E30" s="151">
        <v>0</v>
      </c>
      <c r="P30" s="151">
        <f>+'Prior-CSV'!D44</f>
        <v>0</v>
      </c>
      <c r="Q30" s="151">
        <f>+'Prior-CSV'!E44</f>
        <v>0</v>
      </c>
      <c r="S30" s="151">
        <f t="shared" si="1"/>
        <v>0</v>
      </c>
      <c r="T30" s="151">
        <f t="shared" si="0"/>
        <v>0</v>
      </c>
    </row>
    <row r="31" spans="1:20">
      <c r="A31" s="151">
        <v>4.3</v>
      </c>
      <c r="B31" s="151">
        <v>348692</v>
      </c>
      <c r="C31" s="151">
        <v>385425</v>
      </c>
      <c r="D31" s="151">
        <v>364583</v>
      </c>
      <c r="E31" s="151">
        <v>2.6</v>
      </c>
      <c r="F31" s="151">
        <v>207140</v>
      </c>
      <c r="P31" s="151">
        <f>+'Prior-CSV'!D45</f>
        <v>348692</v>
      </c>
      <c r="Q31" s="151">
        <f>+'Prior-CSV'!E45</f>
        <v>385425</v>
      </c>
      <c r="S31" s="151">
        <f t="shared" si="1"/>
        <v>0</v>
      </c>
      <c r="T31" s="151">
        <f t="shared" si="0"/>
        <v>0</v>
      </c>
    </row>
    <row r="32" spans="1:20">
      <c r="A32" s="151">
        <v>4.5</v>
      </c>
      <c r="B32" s="151">
        <v>34442988</v>
      </c>
      <c r="C32" s="151">
        <v>35390248</v>
      </c>
      <c r="D32" s="151">
        <v>36152637</v>
      </c>
      <c r="E32" s="151">
        <v>2.5</v>
      </c>
      <c r="F32" s="151">
        <v>20809558</v>
      </c>
      <c r="P32" s="151">
        <f>+'Prior-CSV'!D46</f>
        <v>34442988</v>
      </c>
      <c r="Q32" s="151">
        <f>+'Prior-CSV'!E46</f>
        <v>35390248</v>
      </c>
      <c r="S32" s="151">
        <f t="shared" si="1"/>
        <v>0</v>
      </c>
      <c r="T32" s="151">
        <f t="shared" si="0"/>
        <v>0</v>
      </c>
    </row>
    <row r="33" spans="1:20">
      <c r="A33" s="151">
        <v>5.01</v>
      </c>
      <c r="B33" s="151">
        <v>35000</v>
      </c>
      <c r="C33" s="151">
        <v>35000</v>
      </c>
      <c r="D33" s="151">
        <v>35000</v>
      </c>
      <c r="E33" s="151">
        <v>0</v>
      </c>
      <c r="F33" s="151">
        <v>21500</v>
      </c>
      <c r="P33" s="151">
        <f>+'Prior-CSV'!D49</f>
        <v>35000</v>
      </c>
      <c r="Q33" s="151">
        <f>+'Prior-CSV'!E49</f>
        <v>35000</v>
      </c>
      <c r="S33" s="151">
        <f t="shared" si="1"/>
        <v>0</v>
      </c>
      <c r="T33" s="151">
        <f t="shared" si="0"/>
        <v>0</v>
      </c>
    </row>
    <row r="34" spans="1:20">
      <c r="A34" s="151">
        <v>5.0199999999999996</v>
      </c>
      <c r="B34" s="151">
        <v>3284</v>
      </c>
      <c r="C34" s="151">
        <v>0</v>
      </c>
      <c r="D34" s="151">
        <v>102915</v>
      </c>
      <c r="E34" s="151">
        <v>-50</v>
      </c>
      <c r="F34" s="151">
        <v>51457</v>
      </c>
      <c r="P34" s="151">
        <f>+'Prior-CSV'!D50</f>
        <v>3284</v>
      </c>
      <c r="Q34" s="151">
        <f>+'Prior-CSV'!E50</f>
        <v>0</v>
      </c>
      <c r="S34" s="151">
        <f t="shared" si="1"/>
        <v>0</v>
      </c>
      <c r="T34" s="151">
        <f t="shared" si="0"/>
        <v>0</v>
      </c>
    </row>
    <row r="35" spans="1:20">
      <c r="A35" s="151">
        <v>5.03</v>
      </c>
      <c r="B35" s="151">
        <v>0</v>
      </c>
      <c r="C35" s="151">
        <v>0</v>
      </c>
      <c r="E35" s="151">
        <v>0</v>
      </c>
      <c r="P35" s="151">
        <f>+'Prior-CSV'!D51</f>
        <v>0</v>
      </c>
      <c r="Q35" s="151">
        <f>+'Prior-CSV'!E51</f>
        <v>0</v>
      </c>
      <c r="S35" s="151">
        <f t="shared" si="1"/>
        <v>0</v>
      </c>
      <c r="T35" s="151">
        <f t="shared" si="0"/>
        <v>0</v>
      </c>
    </row>
    <row r="36" spans="1:20">
      <c r="A36" s="151">
        <v>5.04</v>
      </c>
      <c r="B36" s="151">
        <v>38284</v>
      </c>
      <c r="C36" s="151">
        <v>35000</v>
      </c>
      <c r="D36" s="151">
        <v>137915</v>
      </c>
      <c r="E36" s="151">
        <v>142.69999999999999</v>
      </c>
      <c r="F36" s="151">
        <v>72957</v>
      </c>
      <c r="P36" s="151">
        <f>+'Prior-CSV'!D52</f>
        <v>38284</v>
      </c>
      <c r="Q36" s="151">
        <f>+'Prior-CSV'!E52</f>
        <v>35000</v>
      </c>
      <c r="S36" s="151">
        <f t="shared" si="1"/>
        <v>0</v>
      </c>
      <c r="T36" s="151">
        <f t="shared" si="0"/>
        <v>0</v>
      </c>
    </row>
    <row r="37" spans="1:20">
      <c r="A37" s="151">
        <v>5.05</v>
      </c>
      <c r="B37" s="151">
        <v>34481272</v>
      </c>
      <c r="C37" s="151">
        <v>35425248</v>
      </c>
      <c r="D37" s="151">
        <v>36290552</v>
      </c>
      <c r="E37" s="151">
        <v>2.6</v>
      </c>
      <c r="F37" s="151">
        <v>20882515</v>
      </c>
      <c r="P37" s="151">
        <f>+'Prior-CSV'!D53</f>
        <v>34481272</v>
      </c>
      <c r="Q37" s="151">
        <f>+'Prior-CSV'!E53</f>
        <v>35425248</v>
      </c>
      <c r="S37" s="151">
        <f t="shared" si="1"/>
        <v>0</v>
      </c>
      <c r="T37" s="151">
        <f t="shared" si="0"/>
        <v>0</v>
      </c>
    </row>
    <row r="38" spans="1:20">
      <c r="A38" s="151">
        <v>6.01</v>
      </c>
      <c r="B38" s="151">
        <v>645365</v>
      </c>
      <c r="C38" s="151">
        <v>-500847</v>
      </c>
      <c r="D38" s="151">
        <v>3051</v>
      </c>
      <c r="E38" s="151">
        <v>-139.1</v>
      </c>
      <c r="F38" s="151">
        <v>15085306</v>
      </c>
      <c r="P38" s="151">
        <f>+'Prior-CSV'!D55</f>
        <v>645365</v>
      </c>
      <c r="Q38" s="151">
        <f>+'Prior-CSV'!E55</f>
        <v>-500847</v>
      </c>
      <c r="S38" s="151">
        <f t="shared" si="1"/>
        <v>0</v>
      </c>
      <c r="T38" s="151">
        <f t="shared" si="0"/>
        <v>0</v>
      </c>
    </row>
    <row r="39" spans="1:20">
      <c r="A39" s="151">
        <v>7.01</v>
      </c>
      <c r="B39" s="151">
        <v>6384783</v>
      </c>
      <c r="C39" s="151">
        <v>7030148</v>
      </c>
      <c r="D39" s="151">
        <v>6529297</v>
      </c>
      <c r="E39" s="151">
        <v>1.5</v>
      </c>
      <c r="F39" s="151">
        <v>-6349733</v>
      </c>
      <c r="P39" s="151">
        <f>+'Prior-CSV'!D57</f>
        <v>6384783</v>
      </c>
      <c r="Q39" s="151">
        <f>+'Prior-CSV'!E57</f>
        <v>7030148</v>
      </c>
      <c r="S39" s="151">
        <f t="shared" si="1"/>
        <v>0</v>
      </c>
      <c r="T39" s="151">
        <f t="shared" si="0"/>
        <v>0</v>
      </c>
    </row>
    <row r="40" spans="1:20">
      <c r="A40" s="151">
        <v>7.02</v>
      </c>
      <c r="B40" s="151">
        <v>7030148</v>
      </c>
      <c r="C40" s="151">
        <v>6529301</v>
      </c>
      <c r="D40" s="151">
        <v>6532348</v>
      </c>
      <c r="E40" s="151">
        <v>-3.5</v>
      </c>
      <c r="F40" s="151">
        <v>8735573</v>
      </c>
      <c r="P40" s="151">
        <f>+'Prior-CSV'!D59</f>
        <v>7030148</v>
      </c>
      <c r="Q40" s="151">
        <f>+'Prior-CSV'!E59</f>
        <v>6529301</v>
      </c>
      <c r="S40" s="151">
        <f t="shared" si="1"/>
        <v>0</v>
      </c>
      <c r="T40" s="151">
        <f t="shared" si="0"/>
        <v>0</v>
      </c>
    </row>
    <row r="41" spans="1:20">
      <c r="A41" s="151">
        <v>8.01</v>
      </c>
      <c r="B41" s="151">
        <v>0</v>
      </c>
      <c r="C41" s="151">
        <v>0</v>
      </c>
      <c r="E41" s="151">
        <v>-50</v>
      </c>
      <c r="F41" s="151">
        <v>1863742</v>
      </c>
      <c r="P41" s="151">
        <f>+'Prior-CSV'!D61</f>
        <v>0</v>
      </c>
      <c r="Q41" s="151">
        <f>+'Prior-CSV'!E61</f>
        <v>0</v>
      </c>
      <c r="S41" s="151">
        <f t="shared" si="1"/>
        <v>0</v>
      </c>
      <c r="T41" s="151">
        <f t="shared" si="0"/>
        <v>0</v>
      </c>
    </row>
    <row r="42" spans="1:20">
      <c r="A42" s="151">
        <v>9.01</v>
      </c>
      <c r="E42" s="151">
        <v>0</v>
      </c>
    </row>
    <row r="43" spans="1:20">
      <c r="A43" s="151">
        <v>9.02</v>
      </c>
      <c r="E43" s="151">
        <v>0</v>
      </c>
    </row>
    <row r="44" spans="1:20">
      <c r="A44" s="151">
        <v>9.0299999999999994</v>
      </c>
      <c r="E44" s="151">
        <v>0</v>
      </c>
    </row>
    <row r="45" spans="1:20">
      <c r="A45" s="151">
        <v>9.0399999999999991</v>
      </c>
      <c r="E45" s="151">
        <v>0</v>
      </c>
    </row>
    <row r="46" spans="1:20">
      <c r="A46" s="151">
        <v>9.0449999999999999</v>
      </c>
      <c r="E46" s="151">
        <v>0</v>
      </c>
    </row>
    <row r="47" spans="1:20">
      <c r="A47" s="151">
        <v>9.0500000000000007</v>
      </c>
      <c r="E47" s="151">
        <v>0</v>
      </c>
    </row>
    <row r="48" spans="1:20">
      <c r="A48" s="151">
        <v>9.06</v>
      </c>
      <c r="E48" s="151">
        <v>0</v>
      </c>
    </row>
    <row r="49" spans="1:5">
      <c r="A49" s="151">
        <v>9.07</v>
      </c>
      <c r="E49" s="151">
        <v>0</v>
      </c>
    </row>
    <row r="50" spans="1:5">
      <c r="A50" s="151">
        <v>9.08</v>
      </c>
      <c r="E50" s="151">
        <v>0</v>
      </c>
    </row>
    <row r="51" spans="1:5">
      <c r="A51" s="151">
        <v>10.01</v>
      </c>
      <c r="E51" s="151">
        <v>0</v>
      </c>
    </row>
    <row r="52" spans="1:5">
      <c r="A52" s="151">
        <v>11.01</v>
      </c>
      <c r="E52" s="151">
        <v>0</v>
      </c>
    </row>
    <row r="53" spans="1:5">
      <c r="A53" s="151">
        <v>11.02</v>
      </c>
      <c r="E53" s="151">
        <v>0</v>
      </c>
    </row>
    <row r="54" spans="1:5">
      <c r="A54" s="151">
        <v>11.3</v>
      </c>
      <c r="E54" s="151">
        <v>0</v>
      </c>
    </row>
    <row r="55" spans="1:5">
      <c r="A55" s="151">
        <v>12.01</v>
      </c>
      <c r="E55" s="151">
        <v>0</v>
      </c>
    </row>
    <row r="56" spans="1:5">
      <c r="A56" s="151">
        <v>13.01</v>
      </c>
      <c r="E56" s="151">
        <v>0</v>
      </c>
    </row>
    <row r="57" spans="1:5">
      <c r="A57" s="151">
        <v>13.02</v>
      </c>
      <c r="E57" s="151">
        <v>0</v>
      </c>
    </row>
    <row r="58" spans="1:5">
      <c r="A58" s="151">
        <v>13.03</v>
      </c>
      <c r="E58" s="151">
        <v>0</v>
      </c>
    </row>
    <row r="59" spans="1:5">
      <c r="A59" s="151">
        <v>14.01</v>
      </c>
      <c r="E59" s="151">
        <v>0</v>
      </c>
    </row>
    <row r="60" spans="1:5">
      <c r="A60" s="151">
        <v>15.01</v>
      </c>
      <c r="E60" s="151">
        <v>0</v>
      </c>
    </row>
    <row r="61" spans="1:5">
      <c r="A61" s="151">
        <v>20.010000000000002</v>
      </c>
      <c r="E61" s="151">
        <v>0</v>
      </c>
    </row>
    <row r="62" spans="1:5">
      <c r="A62" s="151">
        <v>20.015000000000001</v>
      </c>
      <c r="E62" s="151">
        <v>0</v>
      </c>
    </row>
    <row r="63" spans="1:5">
      <c r="A63" s="151">
        <v>21.01</v>
      </c>
      <c r="E63" s="151">
        <v>0</v>
      </c>
    </row>
    <row r="64" spans="1:5">
      <c r="A64" s="151">
        <v>21.02</v>
      </c>
      <c r="E64" s="151">
        <v>0</v>
      </c>
    </row>
    <row r="65" spans="1:5">
      <c r="A65" s="151">
        <v>21.03</v>
      </c>
      <c r="E65" s="151">
        <v>0</v>
      </c>
    </row>
    <row r="66" spans="1:5">
      <c r="A66" s="151">
        <v>21.04</v>
      </c>
      <c r="E66" s="151">
        <v>0</v>
      </c>
    </row>
    <row r="67" spans="1:5">
      <c r="A67" s="151">
        <v>21.05</v>
      </c>
      <c r="E67" s="151">
        <v>0</v>
      </c>
    </row>
    <row r="68" spans="1:5">
      <c r="A68" s="151">
        <v>21.06</v>
      </c>
      <c r="E68" s="151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N107"/>
  <sheetViews>
    <sheetView workbookViewId="0">
      <selection activeCell="A3" sqref="A3:A5"/>
    </sheetView>
  </sheetViews>
  <sheetFormatPr defaultRowHeight="13.2"/>
  <cols>
    <col min="1" max="1" width="7.44140625" style="1331" customWidth="1"/>
    <col min="2" max="2" width="50.6640625" style="1174" customWidth="1"/>
    <col min="3" max="3" width="13.109375" style="1363" customWidth="1"/>
    <col min="4" max="5" width="13.109375" style="1364" customWidth="1"/>
    <col min="6" max="6" width="14.44140625" style="1365" bestFit="1" customWidth="1"/>
    <col min="7" max="11" width="12.88671875" style="1174" customWidth="1"/>
    <col min="12" max="256" width="9.109375" style="1174"/>
    <col min="257" max="257" width="7.44140625" style="1174" customWidth="1"/>
    <col min="258" max="258" width="50.6640625" style="1174" customWidth="1"/>
    <col min="259" max="261" width="13.109375" style="1174" customWidth="1"/>
    <col min="262" max="262" width="8.6640625" style="1174" customWidth="1"/>
    <col min="263" max="267" width="12.88671875" style="1174" customWidth="1"/>
    <col min="268" max="512" width="9.109375" style="1174"/>
    <col min="513" max="513" width="7.44140625" style="1174" customWidth="1"/>
    <col min="514" max="514" width="50.6640625" style="1174" customWidth="1"/>
    <col min="515" max="517" width="13.109375" style="1174" customWidth="1"/>
    <col min="518" max="518" width="8.6640625" style="1174" customWidth="1"/>
    <col min="519" max="523" width="12.88671875" style="1174" customWidth="1"/>
    <col min="524" max="768" width="9.109375" style="1174"/>
    <col min="769" max="769" width="7.44140625" style="1174" customWidth="1"/>
    <col min="770" max="770" width="50.6640625" style="1174" customWidth="1"/>
    <col min="771" max="773" width="13.109375" style="1174" customWidth="1"/>
    <col min="774" max="774" width="8.6640625" style="1174" customWidth="1"/>
    <col min="775" max="779" width="12.88671875" style="1174" customWidth="1"/>
    <col min="780" max="1024" width="9.109375" style="1174"/>
    <col min="1025" max="1025" width="7.44140625" style="1174" customWidth="1"/>
    <col min="1026" max="1026" width="50.6640625" style="1174" customWidth="1"/>
    <col min="1027" max="1029" width="13.109375" style="1174" customWidth="1"/>
    <col min="1030" max="1030" width="8.6640625" style="1174" customWidth="1"/>
    <col min="1031" max="1035" width="12.88671875" style="1174" customWidth="1"/>
    <col min="1036" max="1280" width="9.109375" style="1174"/>
    <col min="1281" max="1281" width="7.44140625" style="1174" customWidth="1"/>
    <col min="1282" max="1282" width="50.6640625" style="1174" customWidth="1"/>
    <col min="1283" max="1285" width="13.109375" style="1174" customWidth="1"/>
    <col min="1286" max="1286" width="8.6640625" style="1174" customWidth="1"/>
    <col min="1287" max="1291" width="12.88671875" style="1174" customWidth="1"/>
    <col min="1292" max="1536" width="9.109375" style="1174"/>
    <col min="1537" max="1537" width="7.44140625" style="1174" customWidth="1"/>
    <col min="1538" max="1538" width="50.6640625" style="1174" customWidth="1"/>
    <col min="1539" max="1541" width="13.109375" style="1174" customWidth="1"/>
    <col min="1542" max="1542" width="8.6640625" style="1174" customWidth="1"/>
    <col min="1543" max="1547" width="12.88671875" style="1174" customWidth="1"/>
    <col min="1548" max="1792" width="9.109375" style="1174"/>
    <col min="1793" max="1793" width="7.44140625" style="1174" customWidth="1"/>
    <col min="1794" max="1794" width="50.6640625" style="1174" customWidth="1"/>
    <col min="1795" max="1797" width="13.109375" style="1174" customWidth="1"/>
    <col min="1798" max="1798" width="8.6640625" style="1174" customWidth="1"/>
    <col min="1799" max="1803" width="12.88671875" style="1174" customWidth="1"/>
    <col min="1804" max="2048" width="9.109375" style="1174"/>
    <col min="2049" max="2049" width="7.44140625" style="1174" customWidth="1"/>
    <col min="2050" max="2050" width="50.6640625" style="1174" customWidth="1"/>
    <col min="2051" max="2053" width="13.109375" style="1174" customWidth="1"/>
    <col min="2054" max="2054" width="8.6640625" style="1174" customWidth="1"/>
    <col min="2055" max="2059" width="12.88671875" style="1174" customWidth="1"/>
    <col min="2060" max="2304" width="9.109375" style="1174"/>
    <col min="2305" max="2305" width="7.44140625" style="1174" customWidth="1"/>
    <col min="2306" max="2306" width="50.6640625" style="1174" customWidth="1"/>
    <col min="2307" max="2309" width="13.109375" style="1174" customWidth="1"/>
    <col min="2310" max="2310" width="8.6640625" style="1174" customWidth="1"/>
    <col min="2311" max="2315" width="12.88671875" style="1174" customWidth="1"/>
    <col min="2316" max="2560" width="9.109375" style="1174"/>
    <col min="2561" max="2561" width="7.44140625" style="1174" customWidth="1"/>
    <col min="2562" max="2562" width="50.6640625" style="1174" customWidth="1"/>
    <col min="2563" max="2565" width="13.109375" style="1174" customWidth="1"/>
    <col min="2566" max="2566" width="8.6640625" style="1174" customWidth="1"/>
    <col min="2567" max="2571" width="12.88671875" style="1174" customWidth="1"/>
    <col min="2572" max="2816" width="9.109375" style="1174"/>
    <col min="2817" max="2817" width="7.44140625" style="1174" customWidth="1"/>
    <col min="2818" max="2818" width="50.6640625" style="1174" customWidth="1"/>
    <col min="2819" max="2821" width="13.109375" style="1174" customWidth="1"/>
    <col min="2822" max="2822" width="8.6640625" style="1174" customWidth="1"/>
    <col min="2823" max="2827" width="12.88671875" style="1174" customWidth="1"/>
    <col min="2828" max="3072" width="9.109375" style="1174"/>
    <col min="3073" max="3073" width="7.44140625" style="1174" customWidth="1"/>
    <col min="3074" max="3074" width="50.6640625" style="1174" customWidth="1"/>
    <col min="3075" max="3077" width="13.109375" style="1174" customWidth="1"/>
    <col min="3078" max="3078" width="8.6640625" style="1174" customWidth="1"/>
    <col min="3079" max="3083" width="12.88671875" style="1174" customWidth="1"/>
    <col min="3084" max="3328" width="9.109375" style="1174"/>
    <col min="3329" max="3329" width="7.44140625" style="1174" customWidth="1"/>
    <col min="3330" max="3330" width="50.6640625" style="1174" customWidth="1"/>
    <col min="3331" max="3333" width="13.109375" style="1174" customWidth="1"/>
    <col min="3334" max="3334" width="8.6640625" style="1174" customWidth="1"/>
    <col min="3335" max="3339" width="12.88671875" style="1174" customWidth="1"/>
    <col min="3340" max="3584" width="9.109375" style="1174"/>
    <col min="3585" max="3585" width="7.44140625" style="1174" customWidth="1"/>
    <col min="3586" max="3586" width="50.6640625" style="1174" customWidth="1"/>
    <col min="3587" max="3589" width="13.109375" style="1174" customWidth="1"/>
    <col min="3590" max="3590" width="8.6640625" style="1174" customWidth="1"/>
    <col min="3591" max="3595" width="12.88671875" style="1174" customWidth="1"/>
    <col min="3596" max="3840" width="9.109375" style="1174"/>
    <col min="3841" max="3841" width="7.44140625" style="1174" customWidth="1"/>
    <col min="3842" max="3842" width="50.6640625" style="1174" customWidth="1"/>
    <col min="3843" max="3845" width="13.109375" style="1174" customWidth="1"/>
    <col min="3846" max="3846" width="8.6640625" style="1174" customWidth="1"/>
    <col min="3847" max="3851" width="12.88671875" style="1174" customWidth="1"/>
    <col min="3852" max="4096" width="9.109375" style="1174"/>
    <col min="4097" max="4097" width="7.44140625" style="1174" customWidth="1"/>
    <col min="4098" max="4098" width="50.6640625" style="1174" customWidth="1"/>
    <col min="4099" max="4101" width="13.109375" style="1174" customWidth="1"/>
    <col min="4102" max="4102" width="8.6640625" style="1174" customWidth="1"/>
    <col min="4103" max="4107" width="12.88671875" style="1174" customWidth="1"/>
    <col min="4108" max="4352" width="9.109375" style="1174"/>
    <col min="4353" max="4353" width="7.44140625" style="1174" customWidth="1"/>
    <col min="4354" max="4354" width="50.6640625" style="1174" customWidth="1"/>
    <col min="4355" max="4357" width="13.109375" style="1174" customWidth="1"/>
    <col min="4358" max="4358" width="8.6640625" style="1174" customWidth="1"/>
    <col min="4359" max="4363" width="12.88671875" style="1174" customWidth="1"/>
    <col min="4364" max="4608" width="9.109375" style="1174"/>
    <col min="4609" max="4609" width="7.44140625" style="1174" customWidth="1"/>
    <col min="4610" max="4610" width="50.6640625" style="1174" customWidth="1"/>
    <col min="4611" max="4613" width="13.109375" style="1174" customWidth="1"/>
    <col min="4614" max="4614" width="8.6640625" style="1174" customWidth="1"/>
    <col min="4615" max="4619" width="12.88671875" style="1174" customWidth="1"/>
    <col min="4620" max="4864" width="9.109375" style="1174"/>
    <col min="4865" max="4865" width="7.44140625" style="1174" customWidth="1"/>
    <col min="4866" max="4866" width="50.6640625" style="1174" customWidth="1"/>
    <col min="4867" max="4869" width="13.109375" style="1174" customWidth="1"/>
    <col min="4870" max="4870" width="8.6640625" style="1174" customWidth="1"/>
    <col min="4871" max="4875" width="12.88671875" style="1174" customWidth="1"/>
    <col min="4876" max="5120" width="9.109375" style="1174"/>
    <col min="5121" max="5121" width="7.44140625" style="1174" customWidth="1"/>
    <col min="5122" max="5122" width="50.6640625" style="1174" customWidth="1"/>
    <col min="5123" max="5125" width="13.109375" style="1174" customWidth="1"/>
    <col min="5126" max="5126" width="8.6640625" style="1174" customWidth="1"/>
    <col min="5127" max="5131" width="12.88671875" style="1174" customWidth="1"/>
    <col min="5132" max="5376" width="9.109375" style="1174"/>
    <col min="5377" max="5377" width="7.44140625" style="1174" customWidth="1"/>
    <col min="5378" max="5378" width="50.6640625" style="1174" customWidth="1"/>
    <col min="5379" max="5381" width="13.109375" style="1174" customWidth="1"/>
    <col min="5382" max="5382" width="8.6640625" style="1174" customWidth="1"/>
    <col min="5383" max="5387" width="12.88671875" style="1174" customWidth="1"/>
    <col min="5388" max="5632" width="9.109375" style="1174"/>
    <col min="5633" max="5633" width="7.44140625" style="1174" customWidth="1"/>
    <col min="5634" max="5634" width="50.6640625" style="1174" customWidth="1"/>
    <col min="5635" max="5637" width="13.109375" style="1174" customWidth="1"/>
    <col min="5638" max="5638" width="8.6640625" style="1174" customWidth="1"/>
    <col min="5639" max="5643" width="12.88671875" style="1174" customWidth="1"/>
    <col min="5644" max="5888" width="9.109375" style="1174"/>
    <col min="5889" max="5889" width="7.44140625" style="1174" customWidth="1"/>
    <col min="5890" max="5890" width="50.6640625" style="1174" customWidth="1"/>
    <col min="5891" max="5893" width="13.109375" style="1174" customWidth="1"/>
    <col min="5894" max="5894" width="8.6640625" style="1174" customWidth="1"/>
    <col min="5895" max="5899" width="12.88671875" style="1174" customWidth="1"/>
    <col min="5900" max="6144" width="9.109375" style="1174"/>
    <col min="6145" max="6145" width="7.44140625" style="1174" customWidth="1"/>
    <col min="6146" max="6146" width="50.6640625" style="1174" customWidth="1"/>
    <col min="6147" max="6149" width="13.109375" style="1174" customWidth="1"/>
    <col min="6150" max="6150" width="8.6640625" style="1174" customWidth="1"/>
    <col min="6151" max="6155" width="12.88671875" style="1174" customWidth="1"/>
    <col min="6156" max="6400" width="9.109375" style="1174"/>
    <col min="6401" max="6401" width="7.44140625" style="1174" customWidth="1"/>
    <col min="6402" max="6402" width="50.6640625" style="1174" customWidth="1"/>
    <col min="6403" max="6405" width="13.109375" style="1174" customWidth="1"/>
    <col min="6406" max="6406" width="8.6640625" style="1174" customWidth="1"/>
    <col min="6407" max="6411" width="12.88671875" style="1174" customWidth="1"/>
    <col min="6412" max="6656" width="9.109375" style="1174"/>
    <col min="6657" max="6657" width="7.44140625" style="1174" customWidth="1"/>
    <col min="6658" max="6658" width="50.6640625" style="1174" customWidth="1"/>
    <col min="6659" max="6661" width="13.109375" style="1174" customWidth="1"/>
    <col min="6662" max="6662" width="8.6640625" style="1174" customWidth="1"/>
    <col min="6663" max="6667" width="12.88671875" style="1174" customWidth="1"/>
    <col min="6668" max="6912" width="9.109375" style="1174"/>
    <col min="6913" max="6913" width="7.44140625" style="1174" customWidth="1"/>
    <col min="6914" max="6914" width="50.6640625" style="1174" customWidth="1"/>
    <col min="6915" max="6917" width="13.109375" style="1174" customWidth="1"/>
    <col min="6918" max="6918" width="8.6640625" style="1174" customWidth="1"/>
    <col min="6919" max="6923" width="12.88671875" style="1174" customWidth="1"/>
    <col min="6924" max="7168" width="9.109375" style="1174"/>
    <col min="7169" max="7169" width="7.44140625" style="1174" customWidth="1"/>
    <col min="7170" max="7170" width="50.6640625" style="1174" customWidth="1"/>
    <col min="7171" max="7173" width="13.109375" style="1174" customWidth="1"/>
    <col min="7174" max="7174" width="8.6640625" style="1174" customWidth="1"/>
    <col min="7175" max="7179" width="12.88671875" style="1174" customWidth="1"/>
    <col min="7180" max="7424" width="9.109375" style="1174"/>
    <col min="7425" max="7425" width="7.44140625" style="1174" customWidth="1"/>
    <col min="7426" max="7426" width="50.6640625" style="1174" customWidth="1"/>
    <col min="7427" max="7429" width="13.109375" style="1174" customWidth="1"/>
    <col min="7430" max="7430" width="8.6640625" style="1174" customWidth="1"/>
    <col min="7431" max="7435" width="12.88671875" style="1174" customWidth="1"/>
    <col min="7436" max="7680" width="9.109375" style="1174"/>
    <col min="7681" max="7681" width="7.44140625" style="1174" customWidth="1"/>
    <col min="7682" max="7682" width="50.6640625" style="1174" customWidth="1"/>
    <col min="7683" max="7685" width="13.109375" style="1174" customWidth="1"/>
    <col min="7686" max="7686" width="8.6640625" style="1174" customWidth="1"/>
    <col min="7687" max="7691" width="12.88671875" style="1174" customWidth="1"/>
    <col min="7692" max="7936" width="9.109375" style="1174"/>
    <col min="7937" max="7937" width="7.44140625" style="1174" customWidth="1"/>
    <col min="7938" max="7938" width="50.6640625" style="1174" customWidth="1"/>
    <col min="7939" max="7941" width="13.109375" style="1174" customWidth="1"/>
    <col min="7942" max="7942" width="8.6640625" style="1174" customWidth="1"/>
    <col min="7943" max="7947" width="12.88671875" style="1174" customWidth="1"/>
    <col min="7948" max="8192" width="9.109375" style="1174"/>
    <col min="8193" max="8193" width="7.44140625" style="1174" customWidth="1"/>
    <col min="8194" max="8194" width="50.6640625" style="1174" customWidth="1"/>
    <col min="8195" max="8197" width="13.109375" style="1174" customWidth="1"/>
    <col min="8198" max="8198" width="8.6640625" style="1174" customWidth="1"/>
    <col min="8199" max="8203" width="12.88671875" style="1174" customWidth="1"/>
    <col min="8204" max="8448" width="9.109375" style="1174"/>
    <col min="8449" max="8449" width="7.44140625" style="1174" customWidth="1"/>
    <col min="8450" max="8450" width="50.6640625" style="1174" customWidth="1"/>
    <col min="8451" max="8453" width="13.109375" style="1174" customWidth="1"/>
    <col min="8454" max="8454" width="8.6640625" style="1174" customWidth="1"/>
    <col min="8455" max="8459" width="12.88671875" style="1174" customWidth="1"/>
    <col min="8460" max="8704" width="9.109375" style="1174"/>
    <col min="8705" max="8705" width="7.44140625" style="1174" customWidth="1"/>
    <col min="8706" max="8706" width="50.6640625" style="1174" customWidth="1"/>
    <col min="8707" max="8709" width="13.109375" style="1174" customWidth="1"/>
    <col min="8710" max="8710" width="8.6640625" style="1174" customWidth="1"/>
    <col min="8711" max="8715" width="12.88671875" style="1174" customWidth="1"/>
    <col min="8716" max="8960" width="9.109375" style="1174"/>
    <col min="8961" max="8961" width="7.44140625" style="1174" customWidth="1"/>
    <col min="8962" max="8962" width="50.6640625" style="1174" customWidth="1"/>
    <col min="8963" max="8965" width="13.109375" style="1174" customWidth="1"/>
    <col min="8966" max="8966" width="8.6640625" style="1174" customWidth="1"/>
    <col min="8967" max="8971" width="12.88671875" style="1174" customWidth="1"/>
    <col min="8972" max="9216" width="9.109375" style="1174"/>
    <col min="9217" max="9217" width="7.44140625" style="1174" customWidth="1"/>
    <col min="9218" max="9218" width="50.6640625" style="1174" customWidth="1"/>
    <col min="9219" max="9221" width="13.109375" style="1174" customWidth="1"/>
    <col min="9222" max="9222" width="8.6640625" style="1174" customWidth="1"/>
    <col min="9223" max="9227" width="12.88671875" style="1174" customWidth="1"/>
    <col min="9228" max="9472" width="9.109375" style="1174"/>
    <col min="9473" max="9473" width="7.44140625" style="1174" customWidth="1"/>
    <col min="9474" max="9474" width="50.6640625" style="1174" customWidth="1"/>
    <col min="9475" max="9477" width="13.109375" style="1174" customWidth="1"/>
    <col min="9478" max="9478" width="8.6640625" style="1174" customWidth="1"/>
    <col min="9479" max="9483" width="12.88671875" style="1174" customWidth="1"/>
    <col min="9484" max="9728" width="9.109375" style="1174"/>
    <col min="9729" max="9729" width="7.44140625" style="1174" customWidth="1"/>
    <col min="9730" max="9730" width="50.6640625" style="1174" customWidth="1"/>
    <col min="9731" max="9733" width="13.109375" style="1174" customWidth="1"/>
    <col min="9734" max="9734" width="8.6640625" style="1174" customWidth="1"/>
    <col min="9735" max="9739" width="12.88671875" style="1174" customWidth="1"/>
    <col min="9740" max="9984" width="9.109375" style="1174"/>
    <col min="9985" max="9985" width="7.44140625" style="1174" customWidth="1"/>
    <col min="9986" max="9986" width="50.6640625" style="1174" customWidth="1"/>
    <col min="9987" max="9989" width="13.109375" style="1174" customWidth="1"/>
    <col min="9990" max="9990" width="8.6640625" style="1174" customWidth="1"/>
    <col min="9991" max="9995" width="12.88671875" style="1174" customWidth="1"/>
    <col min="9996" max="10240" width="9.109375" style="1174"/>
    <col min="10241" max="10241" width="7.44140625" style="1174" customWidth="1"/>
    <col min="10242" max="10242" width="50.6640625" style="1174" customWidth="1"/>
    <col min="10243" max="10245" width="13.109375" style="1174" customWidth="1"/>
    <col min="10246" max="10246" width="8.6640625" style="1174" customWidth="1"/>
    <col min="10247" max="10251" width="12.88671875" style="1174" customWidth="1"/>
    <col min="10252" max="10496" width="9.109375" style="1174"/>
    <col min="10497" max="10497" width="7.44140625" style="1174" customWidth="1"/>
    <col min="10498" max="10498" width="50.6640625" style="1174" customWidth="1"/>
    <col min="10499" max="10501" width="13.109375" style="1174" customWidth="1"/>
    <col min="10502" max="10502" width="8.6640625" style="1174" customWidth="1"/>
    <col min="10503" max="10507" width="12.88671875" style="1174" customWidth="1"/>
    <col min="10508" max="10752" width="9.109375" style="1174"/>
    <col min="10753" max="10753" width="7.44140625" style="1174" customWidth="1"/>
    <col min="10754" max="10754" width="50.6640625" style="1174" customWidth="1"/>
    <col min="10755" max="10757" width="13.109375" style="1174" customWidth="1"/>
    <col min="10758" max="10758" width="8.6640625" style="1174" customWidth="1"/>
    <col min="10759" max="10763" width="12.88671875" style="1174" customWidth="1"/>
    <col min="10764" max="11008" width="9.109375" style="1174"/>
    <col min="11009" max="11009" width="7.44140625" style="1174" customWidth="1"/>
    <col min="11010" max="11010" width="50.6640625" style="1174" customWidth="1"/>
    <col min="11011" max="11013" width="13.109375" style="1174" customWidth="1"/>
    <col min="11014" max="11014" width="8.6640625" style="1174" customWidth="1"/>
    <col min="11015" max="11019" width="12.88671875" style="1174" customWidth="1"/>
    <col min="11020" max="11264" width="9.109375" style="1174"/>
    <col min="11265" max="11265" width="7.44140625" style="1174" customWidth="1"/>
    <col min="11266" max="11266" width="50.6640625" style="1174" customWidth="1"/>
    <col min="11267" max="11269" width="13.109375" style="1174" customWidth="1"/>
    <col min="11270" max="11270" width="8.6640625" style="1174" customWidth="1"/>
    <col min="11271" max="11275" width="12.88671875" style="1174" customWidth="1"/>
    <col min="11276" max="11520" width="9.109375" style="1174"/>
    <col min="11521" max="11521" width="7.44140625" style="1174" customWidth="1"/>
    <col min="11522" max="11522" width="50.6640625" style="1174" customWidth="1"/>
    <col min="11523" max="11525" width="13.109375" style="1174" customWidth="1"/>
    <col min="11526" max="11526" width="8.6640625" style="1174" customWidth="1"/>
    <col min="11527" max="11531" width="12.88671875" style="1174" customWidth="1"/>
    <col min="11532" max="11776" width="9.109375" style="1174"/>
    <col min="11777" max="11777" width="7.44140625" style="1174" customWidth="1"/>
    <col min="11778" max="11778" width="50.6640625" style="1174" customWidth="1"/>
    <col min="11779" max="11781" width="13.109375" style="1174" customWidth="1"/>
    <col min="11782" max="11782" width="8.6640625" style="1174" customWidth="1"/>
    <col min="11783" max="11787" width="12.88671875" style="1174" customWidth="1"/>
    <col min="11788" max="12032" width="9.109375" style="1174"/>
    <col min="12033" max="12033" width="7.44140625" style="1174" customWidth="1"/>
    <col min="12034" max="12034" width="50.6640625" style="1174" customWidth="1"/>
    <col min="12035" max="12037" width="13.109375" style="1174" customWidth="1"/>
    <col min="12038" max="12038" width="8.6640625" style="1174" customWidth="1"/>
    <col min="12039" max="12043" width="12.88671875" style="1174" customWidth="1"/>
    <col min="12044" max="12288" width="9.109375" style="1174"/>
    <col min="12289" max="12289" width="7.44140625" style="1174" customWidth="1"/>
    <col min="12290" max="12290" width="50.6640625" style="1174" customWidth="1"/>
    <col min="12291" max="12293" width="13.109375" style="1174" customWidth="1"/>
    <col min="12294" max="12294" width="8.6640625" style="1174" customWidth="1"/>
    <col min="12295" max="12299" width="12.88671875" style="1174" customWidth="1"/>
    <col min="12300" max="12544" width="9.109375" style="1174"/>
    <col min="12545" max="12545" width="7.44140625" style="1174" customWidth="1"/>
    <col min="12546" max="12546" width="50.6640625" style="1174" customWidth="1"/>
    <col min="12547" max="12549" width="13.109375" style="1174" customWidth="1"/>
    <col min="12550" max="12550" width="8.6640625" style="1174" customWidth="1"/>
    <col min="12551" max="12555" width="12.88671875" style="1174" customWidth="1"/>
    <col min="12556" max="12800" width="9.109375" style="1174"/>
    <col min="12801" max="12801" width="7.44140625" style="1174" customWidth="1"/>
    <col min="12802" max="12802" width="50.6640625" style="1174" customWidth="1"/>
    <col min="12803" max="12805" width="13.109375" style="1174" customWidth="1"/>
    <col min="12806" max="12806" width="8.6640625" style="1174" customWidth="1"/>
    <col min="12807" max="12811" width="12.88671875" style="1174" customWidth="1"/>
    <col min="12812" max="13056" width="9.109375" style="1174"/>
    <col min="13057" max="13057" width="7.44140625" style="1174" customWidth="1"/>
    <col min="13058" max="13058" width="50.6640625" style="1174" customWidth="1"/>
    <col min="13059" max="13061" width="13.109375" style="1174" customWidth="1"/>
    <col min="13062" max="13062" width="8.6640625" style="1174" customWidth="1"/>
    <col min="13063" max="13067" width="12.88671875" style="1174" customWidth="1"/>
    <col min="13068" max="13312" width="9.109375" style="1174"/>
    <col min="13313" max="13313" width="7.44140625" style="1174" customWidth="1"/>
    <col min="13314" max="13314" width="50.6640625" style="1174" customWidth="1"/>
    <col min="13315" max="13317" width="13.109375" style="1174" customWidth="1"/>
    <col min="13318" max="13318" width="8.6640625" style="1174" customWidth="1"/>
    <col min="13319" max="13323" width="12.88671875" style="1174" customWidth="1"/>
    <col min="13324" max="13568" width="9.109375" style="1174"/>
    <col min="13569" max="13569" width="7.44140625" style="1174" customWidth="1"/>
    <col min="13570" max="13570" width="50.6640625" style="1174" customWidth="1"/>
    <col min="13571" max="13573" width="13.109375" style="1174" customWidth="1"/>
    <col min="13574" max="13574" width="8.6640625" style="1174" customWidth="1"/>
    <col min="13575" max="13579" width="12.88671875" style="1174" customWidth="1"/>
    <col min="13580" max="13824" width="9.109375" style="1174"/>
    <col min="13825" max="13825" width="7.44140625" style="1174" customWidth="1"/>
    <col min="13826" max="13826" width="50.6640625" style="1174" customWidth="1"/>
    <col min="13827" max="13829" width="13.109375" style="1174" customWidth="1"/>
    <col min="13830" max="13830" width="8.6640625" style="1174" customWidth="1"/>
    <col min="13831" max="13835" width="12.88671875" style="1174" customWidth="1"/>
    <col min="13836" max="14080" width="9.109375" style="1174"/>
    <col min="14081" max="14081" width="7.44140625" style="1174" customWidth="1"/>
    <col min="14082" max="14082" width="50.6640625" style="1174" customWidth="1"/>
    <col min="14083" max="14085" width="13.109375" style="1174" customWidth="1"/>
    <col min="14086" max="14086" width="8.6640625" style="1174" customWidth="1"/>
    <col min="14087" max="14091" width="12.88671875" style="1174" customWidth="1"/>
    <col min="14092" max="14336" width="9.109375" style="1174"/>
    <col min="14337" max="14337" width="7.44140625" style="1174" customWidth="1"/>
    <col min="14338" max="14338" width="50.6640625" style="1174" customWidth="1"/>
    <col min="14339" max="14341" width="13.109375" style="1174" customWidth="1"/>
    <col min="14342" max="14342" width="8.6640625" style="1174" customWidth="1"/>
    <col min="14343" max="14347" width="12.88671875" style="1174" customWidth="1"/>
    <col min="14348" max="14592" width="9.109375" style="1174"/>
    <col min="14593" max="14593" width="7.44140625" style="1174" customWidth="1"/>
    <col min="14594" max="14594" width="50.6640625" style="1174" customWidth="1"/>
    <col min="14595" max="14597" width="13.109375" style="1174" customWidth="1"/>
    <col min="14598" max="14598" width="8.6640625" style="1174" customWidth="1"/>
    <col min="14599" max="14603" width="12.88671875" style="1174" customWidth="1"/>
    <col min="14604" max="14848" width="9.109375" style="1174"/>
    <col min="14849" max="14849" width="7.44140625" style="1174" customWidth="1"/>
    <col min="14850" max="14850" width="50.6640625" style="1174" customWidth="1"/>
    <col min="14851" max="14853" width="13.109375" style="1174" customWidth="1"/>
    <col min="14854" max="14854" width="8.6640625" style="1174" customWidth="1"/>
    <col min="14855" max="14859" width="12.88671875" style="1174" customWidth="1"/>
    <col min="14860" max="15104" width="9.109375" style="1174"/>
    <col min="15105" max="15105" width="7.44140625" style="1174" customWidth="1"/>
    <col min="15106" max="15106" width="50.6640625" style="1174" customWidth="1"/>
    <col min="15107" max="15109" width="13.109375" style="1174" customWidth="1"/>
    <col min="15110" max="15110" width="8.6640625" style="1174" customWidth="1"/>
    <col min="15111" max="15115" width="12.88671875" style="1174" customWidth="1"/>
    <col min="15116" max="15360" width="9.109375" style="1174"/>
    <col min="15361" max="15361" width="7.44140625" style="1174" customWidth="1"/>
    <col min="15362" max="15362" width="50.6640625" style="1174" customWidth="1"/>
    <col min="15363" max="15365" width="13.109375" style="1174" customWidth="1"/>
    <col min="15366" max="15366" width="8.6640625" style="1174" customWidth="1"/>
    <col min="15367" max="15371" width="12.88671875" style="1174" customWidth="1"/>
    <col min="15372" max="15616" width="9.109375" style="1174"/>
    <col min="15617" max="15617" width="7.44140625" style="1174" customWidth="1"/>
    <col min="15618" max="15618" width="50.6640625" style="1174" customWidth="1"/>
    <col min="15619" max="15621" width="13.109375" style="1174" customWidth="1"/>
    <col min="15622" max="15622" width="8.6640625" style="1174" customWidth="1"/>
    <col min="15623" max="15627" width="12.88671875" style="1174" customWidth="1"/>
    <col min="15628" max="15872" width="9.109375" style="1174"/>
    <col min="15873" max="15873" width="7.44140625" style="1174" customWidth="1"/>
    <col min="15874" max="15874" width="50.6640625" style="1174" customWidth="1"/>
    <col min="15875" max="15877" width="13.109375" style="1174" customWidth="1"/>
    <col min="15878" max="15878" width="8.6640625" style="1174" customWidth="1"/>
    <col min="15879" max="15883" width="12.88671875" style="1174" customWidth="1"/>
    <col min="15884" max="16128" width="9.109375" style="1174"/>
    <col min="16129" max="16129" width="7.44140625" style="1174" customWidth="1"/>
    <col min="16130" max="16130" width="50.6640625" style="1174" customWidth="1"/>
    <col min="16131" max="16133" width="13.109375" style="1174" customWidth="1"/>
    <col min="16134" max="16134" width="8.6640625" style="1174" customWidth="1"/>
    <col min="16135" max="16139" width="12.88671875" style="1174" customWidth="1"/>
    <col min="16140" max="16384" width="9.109375" style="1174"/>
  </cols>
  <sheetData>
    <row r="1" spans="1:248" ht="21" customHeight="1">
      <c r="A1" s="1168" t="str">
        <f>+Cover!D58</f>
        <v>Madison Local School District</v>
      </c>
      <c r="B1" s="1169"/>
      <c r="C1" s="1170"/>
      <c r="D1" s="1171"/>
      <c r="E1" s="1171"/>
      <c r="F1" s="1172"/>
      <c r="G1" s="1169"/>
      <c r="H1" s="1173"/>
      <c r="I1" s="1169"/>
      <c r="J1" s="1169"/>
      <c r="K1" s="1169"/>
    </row>
    <row r="2" spans="1:248" ht="17.25" customHeight="1">
      <c r="A2" s="1175" t="str">
        <f>+Cover!D59</f>
        <v>Richland</v>
      </c>
      <c r="B2" s="1169"/>
      <c r="C2" s="1170"/>
      <c r="D2" s="1171"/>
      <c r="E2" s="1171"/>
      <c r="F2" s="1172"/>
      <c r="G2" s="1169"/>
      <c r="H2" s="1169"/>
      <c r="I2" s="1169"/>
      <c r="J2" s="1169"/>
      <c r="K2" s="1169"/>
    </row>
    <row r="3" spans="1:248" ht="15">
      <c r="A3" s="1176" t="str">
        <f>+Forecast!B3</f>
        <v>Schedule of Revenues, Expenditures and Changes in Fund Balances</v>
      </c>
      <c r="B3" s="1169"/>
      <c r="C3" s="1177"/>
      <c r="D3" s="1178"/>
      <c r="E3" s="1178"/>
      <c r="F3" s="1179"/>
      <c r="G3" s="1169"/>
      <c r="H3" s="1169"/>
      <c r="I3" s="1169"/>
      <c r="J3" s="1169"/>
      <c r="K3" s="1169"/>
    </row>
    <row r="4" spans="1:248" ht="15">
      <c r="A4" s="1176" t="str">
        <f>+Forecast!B4</f>
        <v>For the Fiscal Years Ended June 30, 2019, 2020 and 2021 Actual;</v>
      </c>
      <c r="B4" s="1169"/>
      <c r="C4" s="1177"/>
      <c r="D4" s="1178"/>
      <c r="E4" s="1178"/>
      <c r="F4" s="1179"/>
      <c r="G4" s="1169"/>
      <c r="H4" s="1169"/>
      <c r="I4" s="1169"/>
      <c r="J4" s="1169"/>
      <c r="K4" s="1169"/>
    </row>
    <row r="5" spans="1:248" ht="15">
      <c r="A5" s="1176" t="str">
        <f>+Forecast!B5</f>
        <v>Forecasted Fiscal Years Ending June 30, 2022 Through 2026</v>
      </c>
      <c r="B5" s="1169"/>
      <c r="C5" s="1177"/>
      <c r="D5" s="1178"/>
      <c r="E5" s="1178"/>
      <c r="F5" s="1179"/>
      <c r="G5" s="1169"/>
      <c r="H5" s="1180"/>
      <c r="I5" s="1169"/>
      <c r="J5" s="1169"/>
      <c r="K5" s="1169"/>
    </row>
    <row r="6" spans="1:248" ht="4.2" customHeight="1">
      <c r="A6" s="1181"/>
      <c r="B6" s="1169"/>
      <c r="C6" s="1177"/>
      <c r="D6" s="1178"/>
      <c r="E6" s="1178"/>
      <c r="F6" s="1179"/>
      <c r="G6" s="1173"/>
      <c r="H6" s="1169"/>
      <c r="I6" s="1169"/>
      <c r="J6" s="1169"/>
      <c r="K6" s="1169"/>
    </row>
    <row r="7" spans="1:248" ht="18" thickBot="1">
      <c r="A7" s="1182"/>
      <c r="B7" s="1183"/>
      <c r="C7" s="1184" t="s">
        <v>300</v>
      </c>
      <c r="D7" s="1185"/>
      <c r="E7" s="1186"/>
      <c r="F7" s="1187"/>
      <c r="G7" s="1188" t="s">
        <v>88</v>
      </c>
      <c r="H7" s="1189"/>
      <c r="I7" s="1189"/>
      <c r="J7" s="1189"/>
      <c r="K7" s="1190"/>
    </row>
    <row r="8" spans="1:248">
      <c r="A8" s="1191" t="s">
        <v>250</v>
      </c>
      <c r="B8" s="1192"/>
      <c r="C8" s="1193" t="s">
        <v>89</v>
      </c>
      <c r="D8" s="1194" t="s">
        <v>90</v>
      </c>
      <c r="E8" s="1194" t="s">
        <v>90</v>
      </c>
      <c r="F8" s="1195" t="s">
        <v>91</v>
      </c>
      <c r="G8" s="1196" t="s">
        <v>90</v>
      </c>
      <c r="H8" s="1197" t="s">
        <v>90</v>
      </c>
      <c r="I8" s="1197" t="s">
        <v>90</v>
      </c>
      <c r="J8" s="1197" t="s">
        <v>90</v>
      </c>
      <c r="K8" s="1198" t="s">
        <v>90</v>
      </c>
    </row>
    <row r="9" spans="1:248">
      <c r="A9" s="1199" t="s">
        <v>250</v>
      </c>
      <c r="B9" s="1200"/>
      <c r="C9" s="1201">
        <f>+Forecast!D9</f>
        <v>2019</v>
      </c>
      <c r="D9" s="1202">
        <f>+Forecast!E9</f>
        <v>2020</v>
      </c>
      <c r="E9" s="1202">
        <f>+Forecast!F9</f>
        <v>2021</v>
      </c>
      <c r="F9" s="1203" t="str">
        <f>+Forecast!G9</f>
        <v>Change</v>
      </c>
      <c r="G9" s="1196">
        <f>+Forecast!H9</f>
        <v>2022</v>
      </c>
      <c r="H9" s="1197">
        <f>+Forecast!I9</f>
        <v>2023</v>
      </c>
      <c r="I9" s="1197">
        <f>+Forecast!J9</f>
        <v>2024</v>
      </c>
      <c r="J9" s="1197">
        <f>+Forecast!K9</f>
        <v>2025</v>
      </c>
      <c r="K9" s="1198">
        <f>+Forecast!L9</f>
        <v>2026</v>
      </c>
    </row>
    <row r="10" spans="1:248" ht="13.95" customHeight="1">
      <c r="A10" s="1204"/>
      <c r="B10" s="1205" t="s">
        <v>93</v>
      </c>
      <c r="C10" s="1206"/>
      <c r="D10" s="1207"/>
      <c r="E10" s="1208"/>
      <c r="F10" s="1209"/>
      <c r="G10" s="1210"/>
      <c r="H10" s="1211"/>
      <c r="I10" s="1211"/>
      <c r="J10" s="1211"/>
      <c r="K10" s="1212"/>
    </row>
    <row r="11" spans="1:248">
      <c r="A11" s="1204">
        <v>1.01</v>
      </c>
      <c r="B11" s="1213" t="s">
        <v>94</v>
      </c>
      <c r="C11" s="1214">
        <f>VLOOKUP($A11,Forecast!$B$12:L$110,3)</f>
        <v>9157706</v>
      </c>
      <c r="D11" s="1215">
        <f>VLOOKUP($A11,Forecast!$B$12:M$110,4)</f>
        <v>9425875</v>
      </c>
      <c r="E11" s="1216">
        <f>VLOOKUP($A11,Forecast!$B$12:M$110,5)</f>
        <v>9865381</v>
      </c>
      <c r="F11" s="1217">
        <f>IF(IF(OR(C11=0,D11=0),0,AVERAGE((D11-C11)/C11,(E11-D11)/D11))&gt;999.99,999.99,IF(OR(C11=0,D11=0),0,AVERAGE((D11-C11)/C11,(E11-D11)/D11)))</f>
        <v>3.7955516431729522E-2</v>
      </c>
      <c r="G11" s="1218">
        <f>VLOOKUP($A11,Forecast!$B$12:M$110,7)</f>
        <v>9823617</v>
      </c>
      <c r="H11" s="1219">
        <f>VLOOKUP($A11,Forecast!$B$12:M$110,8)</f>
        <v>9656411</v>
      </c>
      <c r="I11" s="1219">
        <f>VLOOKUP($A11,Forecast!$B$12:M$110,9)</f>
        <v>9183823</v>
      </c>
      <c r="J11" s="1219">
        <f>VLOOKUP($A11,Forecast!$B$12:N$110,10)</f>
        <v>9288247</v>
      </c>
      <c r="K11" s="1220">
        <f>VLOOKUP($A11,Forecast!$B$12:O$110,11)</f>
        <v>9387419</v>
      </c>
      <c r="L11" s="1221"/>
      <c r="M11" s="1221"/>
      <c r="N11" s="1221"/>
      <c r="O11" s="1221"/>
      <c r="P11" s="1221"/>
      <c r="Q11" s="1221"/>
      <c r="R11" s="1221"/>
      <c r="S11" s="1221"/>
      <c r="T11" s="1221"/>
      <c r="U11" s="1221"/>
      <c r="V11" s="1221"/>
      <c r="W11" s="1221"/>
      <c r="X11" s="1221"/>
      <c r="Y11" s="1221"/>
      <c r="Z11" s="1221"/>
      <c r="AA11" s="1221"/>
      <c r="AB11" s="1221"/>
      <c r="AC11" s="1221"/>
      <c r="AD11" s="1221"/>
      <c r="AE11" s="1221"/>
      <c r="AF11" s="1221"/>
      <c r="AG11" s="1221"/>
      <c r="AH11" s="1221"/>
      <c r="AI11" s="1221"/>
      <c r="AJ11" s="1221"/>
      <c r="AK11" s="1221"/>
      <c r="AL11" s="1221"/>
      <c r="AM11" s="1221"/>
      <c r="AN11" s="1221"/>
      <c r="AO11" s="1221"/>
      <c r="AP11" s="1221"/>
      <c r="AQ11" s="1221"/>
      <c r="AR11" s="1221"/>
      <c r="AS11" s="1221"/>
      <c r="AT11" s="1221"/>
      <c r="AU11" s="1221"/>
      <c r="AV11" s="1221"/>
      <c r="AW11" s="1221"/>
      <c r="AX11" s="1221"/>
      <c r="AY11" s="1221"/>
      <c r="AZ11" s="1221"/>
      <c r="BA11" s="1221"/>
      <c r="BB11" s="1221"/>
      <c r="BC11" s="1221"/>
      <c r="BD11" s="1221"/>
      <c r="BE11" s="1221"/>
      <c r="BF11" s="1221"/>
      <c r="BG11" s="1221"/>
      <c r="BH11" s="1221"/>
      <c r="BI11" s="1221"/>
      <c r="BJ11" s="1221"/>
      <c r="BK11" s="1221"/>
      <c r="BL11" s="1221"/>
      <c r="BM11" s="1221"/>
      <c r="BN11" s="1221"/>
      <c r="BO11" s="1221"/>
      <c r="BP11" s="1221"/>
      <c r="BQ11" s="1221"/>
      <c r="BR11" s="1221"/>
      <c r="BS11" s="1221"/>
      <c r="BT11" s="1221"/>
      <c r="BU11" s="1221"/>
      <c r="BV11" s="1221"/>
      <c r="BW11" s="1221"/>
      <c r="BX11" s="1221"/>
      <c r="BY11" s="1221"/>
      <c r="BZ11" s="1221"/>
      <c r="CA11" s="1221"/>
      <c r="CB11" s="1221"/>
      <c r="CC11" s="1221"/>
      <c r="CD11" s="1221"/>
      <c r="CE11" s="1221"/>
      <c r="CF11" s="1221"/>
      <c r="CG11" s="1221"/>
      <c r="CH11" s="1221"/>
      <c r="CI11" s="1221"/>
      <c r="CJ11" s="1221"/>
      <c r="CK11" s="1221"/>
      <c r="CL11" s="1221"/>
      <c r="CM11" s="1221"/>
      <c r="CN11" s="1221"/>
      <c r="CO11" s="1221"/>
      <c r="CP11" s="1221"/>
      <c r="CQ11" s="1221"/>
      <c r="CR11" s="1221"/>
      <c r="CS11" s="1221"/>
      <c r="CT11" s="1221"/>
      <c r="CU11" s="1221"/>
      <c r="CV11" s="1221"/>
      <c r="CW11" s="1221"/>
      <c r="CX11" s="1221"/>
      <c r="CY11" s="1221"/>
      <c r="CZ11" s="1221"/>
      <c r="DA11" s="1221"/>
      <c r="DB11" s="1221"/>
      <c r="DC11" s="1221"/>
      <c r="DD11" s="1221"/>
      <c r="DE11" s="1221"/>
      <c r="DF11" s="1221"/>
      <c r="DG11" s="1221"/>
      <c r="DH11" s="1221"/>
      <c r="DI11" s="1221"/>
      <c r="DJ11" s="1221"/>
      <c r="DK11" s="1221"/>
      <c r="DL11" s="1221"/>
      <c r="DM11" s="1221"/>
      <c r="DN11" s="1221"/>
      <c r="DO11" s="1221"/>
      <c r="DP11" s="1221"/>
      <c r="DQ11" s="1221"/>
      <c r="DR11" s="1221"/>
      <c r="DS11" s="1221"/>
      <c r="DT11" s="1221"/>
      <c r="DU11" s="1221"/>
      <c r="DV11" s="1221"/>
      <c r="DW11" s="1221"/>
      <c r="DX11" s="1221"/>
      <c r="DY11" s="1221"/>
      <c r="DZ11" s="1221"/>
      <c r="EA11" s="1221"/>
      <c r="EB11" s="1221"/>
      <c r="EC11" s="1221"/>
      <c r="ED11" s="1221"/>
      <c r="EE11" s="1221"/>
      <c r="EF11" s="1221"/>
      <c r="EG11" s="1221"/>
      <c r="EH11" s="1221"/>
      <c r="EI11" s="1221"/>
      <c r="EJ11" s="1221"/>
      <c r="EK11" s="1221"/>
      <c r="EL11" s="1221"/>
      <c r="EM11" s="1221"/>
      <c r="EN11" s="1221"/>
      <c r="EO11" s="1221"/>
      <c r="EP11" s="1221"/>
      <c r="EQ11" s="1221"/>
      <c r="ER11" s="1221"/>
      <c r="ES11" s="1221"/>
      <c r="ET11" s="1221"/>
      <c r="EU11" s="1221"/>
      <c r="EV11" s="1221"/>
      <c r="EW11" s="1221"/>
      <c r="EX11" s="1221"/>
      <c r="EY11" s="1221"/>
      <c r="EZ11" s="1221"/>
      <c r="FA11" s="1221"/>
      <c r="FB11" s="1221"/>
      <c r="FC11" s="1221"/>
      <c r="FD11" s="1221"/>
      <c r="FE11" s="1221"/>
      <c r="FF11" s="1221"/>
      <c r="FG11" s="1221"/>
      <c r="FH11" s="1221"/>
      <c r="FI11" s="1221"/>
      <c r="FJ11" s="1221"/>
      <c r="FK11" s="1221"/>
      <c r="FL11" s="1221"/>
      <c r="FM11" s="1221"/>
      <c r="FN11" s="1221"/>
      <c r="FO11" s="1221"/>
      <c r="FP11" s="1221"/>
      <c r="FQ11" s="1221"/>
      <c r="FR11" s="1221"/>
      <c r="FS11" s="1221"/>
      <c r="FT11" s="1221"/>
      <c r="FU11" s="1221"/>
      <c r="FV11" s="1221"/>
      <c r="FW11" s="1221"/>
      <c r="FX11" s="1221"/>
      <c r="FY11" s="1221"/>
      <c r="FZ11" s="1221"/>
      <c r="GA11" s="1221"/>
      <c r="GB11" s="1221"/>
      <c r="GC11" s="1221"/>
      <c r="GD11" s="1221"/>
      <c r="GE11" s="1221"/>
      <c r="GF11" s="1221"/>
      <c r="GG11" s="1221"/>
      <c r="GH11" s="1221"/>
      <c r="GI11" s="1221"/>
      <c r="GJ11" s="1221"/>
      <c r="GK11" s="1221"/>
      <c r="GL11" s="1221"/>
      <c r="GM11" s="1221"/>
      <c r="GN11" s="1221"/>
      <c r="GO11" s="1221"/>
      <c r="GP11" s="1221"/>
      <c r="GQ11" s="1221"/>
      <c r="GR11" s="1221"/>
      <c r="GS11" s="1221"/>
      <c r="GT11" s="1221"/>
      <c r="GU11" s="1221"/>
      <c r="GV11" s="1221"/>
      <c r="GW11" s="1221"/>
      <c r="GX11" s="1221"/>
      <c r="GY11" s="1221"/>
      <c r="GZ11" s="1221"/>
      <c r="HA11" s="1221"/>
      <c r="HB11" s="1221"/>
      <c r="HC11" s="1221"/>
      <c r="HD11" s="1221"/>
      <c r="HE11" s="1221"/>
      <c r="HF11" s="1221"/>
      <c r="HG11" s="1221"/>
      <c r="HH11" s="1221"/>
      <c r="HI11" s="1221"/>
      <c r="HJ11" s="1221"/>
      <c r="HK11" s="1221"/>
      <c r="HL11" s="1221"/>
      <c r="HM11" s="1221"/>
      <c r="HN11" s="1221"/>
      <c r="HO11" s="1221"/>
      <c r="HP11" s="1221"/>
      <c r="HQ11" s="1221"/>
      <c r="HR11" s="1221"/>
      <c r="HS11" s="1221"/>
      <c r="HT11" s="1221"/>
      <c r="HU11" s="1221"/>
      <c r="HV11" s="1221"/>
      <c r="HW11" s="1221"/>
      <c r="HX11" s="1221"/>
      <c r="HY11" s="1221"/>
      <c r="HZ11" s="1221"/>
      <c r="IA11" s="1221"/>
      <c r="IB11" s="1221"/>
      <c r="IC11" s="1221"/>
      <c r="ID11" s="1221"/>
      <c r="IE11" s="1221"/>
      <c r="IF11" s="1221"/>
      <c r="IG11" s="1221"/>
      <c r="IH11" s="1221"/>
      <c r="II11" s="1221"/>
      <c r="IJ11" s="1221"/>
      <c r="IK11" s="1221"/>
      <c r="IL11" s="1221"/>
      <c r="IM11" s="1221"/>
      <c r="IN11" s="1221"/>
    </row>
    <row r="12" spans="1:248">
      <c r="A12" s="1204">
        <v>1.02</v>
      </c>
      <c r="B12" s="25" t="s">
        <v>1024</v>
      </c>
      <c r="C12" s="1214">
        <f>VLOOKUP($A12,Forecast!$B$12:L$110,3)</f>
        <v>1240772</v>
      </c>
      <c r="D12" s="1215">
        <f>VLOOKUP($A12,Forecast!$B$12:M$110,4)</f>
        <v>1461169</v>
      </c>
      <c r="E12" s="1216">
        <f>VLOOKUP($A12,Forecast!$B$12:M$110,5)</f>
        <v>1654190</v>
      </c>
      <c r="F12" s="1217">
        <f t="shared" ref="F12:F74" si="0">IF(IF(OR(C12=0,D12=0),0,AVERAGE((D12-C12)/C12,(E12-D12)/D12))&gt;999.99,999.99,IF(OR(C12=0,D12=0),0,AVERAGE((D12-C12)/C12,(E12-D12)/D12)))</f>
        <v>0.15486466069276711</v>
      </c>
      <c r="G12" s="1218">
        <f>VLOOKUP($A12,Forecast!$B$12:M$110,7)</f>
        <v>1732218</v>
      </c>
      <c r="H12" s="1219">
        <f>VLOOKUP($A12,Forecast!$B$12:M$110,8)</f>
        <v>1709024</v>
      </c>
      <c r="I12" s="1219">
        <f>VLOOKUP($A12,Forecast!$B$12:M$110,9)</f>
        <v>1681257</v>
      </c>
      <c r="J12" s="1219">
        <f>VLOOKUP($A12,Forecast!$B$12:N$110,10)</f>
        <v>1754325</v>
      </c>
      <c r="K12" s="1220">
        <f>VLOOKUP($A12,Forecast!$B$12:O$110,11)</f>
        <v>1827391</v>
      </c>
    </row>
    <row r="13" spans="1:248">
      <c r="A13" s="1204">
        <v>1.03</v>
      </c>
      <c r="B13" s="9" t="s">
        <v>95</v>
      </c>
      <c r="C13" s="1214">
        <f>VLOOKUP($A13,Forecast!$B$12:L$110,3)</f>
        <v>0</v>
      </c>
      <c r="D13" s="1215">
        <f>VLOOKUP($A13,Forecast!$B$12:M$110,4)</f>
        <v>0</v>
      </c>
      <c r="E13" s="1216">
        <f>VLOOKUP($A13,Forecast!$B$12:M$110,5)</f>
        <v>0</v>
      </c>
      <c r="F13" s="1217">
        <f t="shared" si="0"/>
        <v>0</v>
      </c>
      <c r="G13" s="1218">
        <f>VLOOKUP($A13,Forecast!$B$12:M$110,7)</f>
        <v>0</v>
      </c>
      <c r="H13" s="1219">
        <f>VLOOKUP($A13,Forecast!$B$12:M$110,8)</f>
        <v>0</v>
      </c>
      <c r="I13" s="1219">
        <f>VLOOKUP($A13,Forecast!$B$12:M$110,9)</f>
        <v>0</v>
      </c>
      <c r="J13" s="1219">
        <f>VLOOKUP($A13,Forecast!$B$12:N$110,10)</f>
        <v>0</v>
      </c>
      <c r="K13" s="1220">
        <f>VLOOKUP($A13,Forecast!$B$12:O$110,11)</f>
        <v>0</v>
      </c>
    </row>
    <row r="14" spans="1:248">
      <c r="A14" s="1204">
        <v>1.0349999999999999</v>
      </c>
      <c r="B14" s="13" t="s">
        <v>96</v>
      </c>
      <c r="C14" s="1214">
        <f>VLOOKUP($A14,Forecast!$B$12:L$110,3)</f>
        <v>18345074</v>
      </c>
      <c r="D14" s="1215">
        <f>VLOOKUP($A14,Forecast!$B$12:M$110,4)</f>
        <v>17717074</v>
      </c>
      <c r="E14" s="1216">
        <f>VLOOKUP($A14,Forecast!$B$12:M$110,5)</f>
        <v>17960616</v>
      </c>
      <c r="F14" s="1217">
        <f t="shared" si="0"/>
        <v>-1.0243223932732047E-2</v>
      </c>
      <c r="G14" s="1218">
        <f>VLOOKUP($A14,Forecast!$B$12:M$110,7)</f>
        <v>16134504</v>
      </c>
      <c r="H14" s="1219">
        <f>VLOOKUP($A14,Forecast!$B$12:M$110,8)</f>
        <v>17007583</v>
      </c>
      <c r="I14" s="1219">
        <f>VLOOKUP($A14,Forecast!$B$12:M$110,9)</f>
        <v>17010834</v>
      </c>
      <c r="J14" s="1219">
        <f>VLOOKUP($A14,Forecast!$B$12:N$110,10)</f>
        <v>17014139</v>
      </c>
      <c r="K14" s="1220">
        <f>VLOOKUP($A14,Forecast!$B$12:O$110,11)</f>
        <v>17017523</v>
      </c>
    </row>
    <row r="15" spans="1:248">
      <c r="A15" s="1204">
        <v>1.04</v>
      </c>
      <c r="B15" s="13" t="s">
        <v>97</v>
      </c>
      <c r="C15" s="1214">
        <f>VLOOKUP($A15,Forecast!$B$12:L$110,3)</f>
        <v>1503597</v>
      </c>
      <c r="D15" s="1215">
        <f>VLOOKUP($A15,Forecast!$B$12:M$110,4)</f>
        <v>1545375</v>
      </c>
      <c r="E15" s="1216">
        <f>VLOOKUP($A15,Forecast!$B$12:M$110,5)</f>
        <v>1545371</v>
      </c>
      <c r="F15" s="1217">
        <f t="shared" si="0"/>
        <v>1.389139115629387E-2</v>
      </c>
      <c r="G15" s="1218">
        <f>VLOOKUP($A15,Forecast!$B$12:M$110,7)</f>
        <v>1545371</v>
      </c>
      <c r="H15" s="1219">
        <f>VLOOKUP($A15,Forecast!$B$12:M$110,8)</f>
        <v>1545371</v>
      </c>
      <c r="I15" s="1219">
        <f>VLOOKUP($A15,Forecast!$B$12:M$110,9)</f>
        <v>1545371</v>
      </c>
      <c r="J15" s="1219">
        <f>VLOOKUP($A15,Forecast!$B$12:N$110,10)</f>
        <v>1545371</v>
      </c>
      <c r="K15" s="1220">
        <f>VLOOKUP($A15,Forecast!$B$12:O$110,11)</f>
        <v>1545371</v>
      </c>
    </row>
    <row r="16" spans="1:248">
      <c r="A16" s="1204">
        <v>1.0449999999999999</v>
      </c>
      <c r="B16" s="9" t="s">
        <v>1025</v>
      </c>
      <c r="C16" s="1214">
        <f>VLOOKUP($A16,Forecast!$B$12:L$110,3)</f>
        <v>0</v>
      </c>
      <c r="D16" s="1215">
        <f>VLOOKUP($A16,Forecast!$B$12:M$110,4)</f>
        <v>0</v>
      </c>
      <c r="E16" s="1216">
        <f>VLOOKUP($A16,Forecast!$B$12:M$110,5)</f>
        <v>0</v>
      </c>
      <c r="F16" s="1217">
        <f t="shared" si="0"/>
        <v>0</v>
      </c>
      <c r="G16" s="1218">
        <f>VLOOKUP($A16,Forecast!$B$12:M$110,7)</f>
        <v>0</v>
      </c>
      <c r="H16" s="1219">
        <f>VLOOKUP($A16,Forecast!$B$12:M$110,8)</f>
        <v>0</v>
      </c>
      <c r="I16" s="1219">
        <f>VLOOKUP($A16,Forecast!$B$12:M$110,9)</f>
        <v>0</v>
      </c>
      <c r="J16" s="1219">
        <f>VLOOKUP($A16,Forecast!$B$12:N$110,10)</f>
        <v>0</v>
      </c>
      <c r="K16" s="1220">
        <f>VLOOKUP($A16,Forecast!$B$12:O$110,11)</f>
        <v>0</v>
      </c>
    </row>
    <row r="17" spans="1:248">
      <c r="A17" s="1204">
        <v>1.05</v>
      </c>
      <c r="B17" s="1174" t="s">
        <v>98</v>
      </c>
      <c r="C17" s="1214">
        <f>VLOOKUP($A17,Forecast!$B$12:L$110,3)</f>
        <v>2668596</v>
      </c>
      <c r="D17" s="1215">
        <f>VLOOKUP($A17,Forecast!$B$12:M$110,4)</f>
        <v>2465279</v>
      </c>
      <c r="E17" s="1216">
        <f>VLOOKUP($A17,Forecast!$B$12:M$110,5)</f>
        <v>2241868</v>
      </c>
      <c r="F17" s="1217">
        <f t="shared" si="0"/>
        <v>-8.3405880515073985E-2</v>
      </c>
      <c r="G17" s="1218">
        <f>VLOOKUP($A17,Forecast!$B$12:M$110,7)</f>
        <v>2012084</v>
      </c>
      <c r="H17" s="1219">
        <f>VLOOKUP($A17,Forecast!$B$12:M$110,8)</f>
        <v>1726932</v>
      </c>
      <c r="I17" s="1219">
        <f>VLOOKUP($A17,Forecast!$B$12:M$110,9)</f>
        <v>1410196</v>
      </c>
      <c r="J17" s="1219">
        <f>VLOOKUP($A17,Forecast!$B$12:N$110,10)</f>
        <v>1167772</v>
      </c>
      <c r="K17" s="1220">
        <f>VLOOKUP($A17,Forecast!$B$12:O$110,11)</f>
        <v>1121128</v>
      </c>
    </row>
    <row r="18" spans="1:248">
      <c r="A18" s="1204">
        <v>1.06</v>
      </c>
      <c r="B18" s="1174" t="s">
        <v>99</v>
      </c>
      <c r="C18" s="1223">
        <f>VLOOKUP($A18,Forecast!$B$12:L$110,3)</f>
        <v>1900591</v>
      </c>
      <c r="D18" s="1224">
        <f>VLOOKUP($A18,Forecast!$B$12:M$110,4)</f>
        <v>2077305</v>
      </c>
      <c r="E18" s="1225">
        <f>VLOOKUP($A18,Forecast!$B$12:M$110,5)</f>
        <v>2137525</v>
      </c>
      <c r="F18" s="1226">
        <f t="shared" si="0"/>
        <v>6.0983965600589732E-2</v>
      </c>
      <c r="G18" s="1227">
        <f>VLOOKUP($A18,Forecast!$B$12:M$110,7)</f>
        <v>1205805</v>
      </c>
      <c r="H18" s="1228">
        <f>VLOOKUP($A18,Forecast!$B$12:M$110,8)</f>
        <v>1179285</v>
      </c>
      <c r="I18" s="1228">
        <f>VLOOKUP($A18,Forecast!$B$12:M$110,9)</f>
        <v>1182344</v>
      </c>
      <c r="J18" s="1228">
        <f>VLOOKUP($A18,Forecast!$B$12:N$110,10)</f>
        <v>1173130</v>
      </c>
      <c r="K18" s="1229">
        <f>VLOOKUP($A18,Forecast!$B$12:O$110,11)</f>
        <v>1176644</v>
      </c>
    </row>
    <row r="19" spans="1:248" s="1239" customFormat="1" ht="14.4">
      <c r="A19" s="1230">
        <v>1.07</v>
      </c>
      <c r="B19" s="1231" t="s">
        <v>100</v>
      </c>
      <c r="C19" s="1232">
        <f>SUM(C11:C18)</f>
        <v>34816336</v>
      </c>
      <c r="D19" s="1233">
        <f>SUM(D11:D18)</f>
        <v>34692077</v>
      </c>
      <c r="E19" s="1234">
        <f>SUM(E11:E18)</f>
        <v>35404951</v>
      </c>
      <c r="F19" s="1235">
        <f t="shared" si="0"/>
        <v>8.4898127975321803E-3</v>
      </c>
      <c r="G19" s="1236">
        <f>SUM(G11:G18)</f>
        <v>32453599</v>
      </c>
      <c r="H19" s="1237">
        <f>SUM(H11:H18)</f>
        <v>32824606</v>
      </c>
      <c r="I19" s="1237">
        <f>SUM(I11:I18)</f>
        <v>32013825</v>
      </c>
      <c r="J19" s="1237">
        <f>SUM(J11:J18)</f>
        <v>31942984</v>
      </c>
      <c r="K19" s="1238">
        <f>SUM(K11:K18)</f>
        <v>32075476</v>
      </c>
    </row>
    <row r="20" spans="1:248" ht="8.25" customHeight="1">
      <c r="A20" s="1204"/>
      <c r="C20" s="1240"/>
      <c r="D20" s="1241"/>
      <c r="E20" s="1242"/>
      <c r="F20" s="1209"/>
      <c r="G20" s="1243"/>
      <c r="H20" s="1244"/>
      <c r="I20" s="1244"/>
      <c r="J20" s="1244"/>
      <c r="K20" s="1245"/>
    </row>
    <row r="21" spans="1:248">
      <c r="A21" s="1204"/>
      <c r="B21" s="1205" t="s">
        <v>119</v>
      </c>
      <c r="C21" s="1240"/>
      <c r="D21" s="1241"/>
      <c r="E21" s="1242"/>
      <c r="F21" s="1209"/>
      <c r="G21" s="1243"/>
      <c r="H21" s="1244"/>
      <c r="I21" s="1244"/>
      <c r="J21" s="1244"/>
      <c r="K21" s="1245"/>
    </row>
    <row r="22" spans="1:248">
      <c r="A22" s="1204">
        <v>2.0099999999999998</v>
      </c>
      <c r="B22" s="1174" t="s">
        <v>120</v>
      </c>
      <c r="C22" s="1214">
        <f>VLOOKUP($A22,Forecast!$B$12:L$110,3)</f>
        <v>0</v>
      </c>
      <c r="D22" s="1215">
        <f>VLOOKUP($A22,Forecast!$B$12:M$110,4)</f>
        <v>0</v>
      </c>
      <c r="E22" s="1216">
        <f>VLOOKUP($A22,Forecast!$B$12:M$110,5)</f>
        <v>0</v>
      </c>
      <c r="F22" s="1217">
        <f t="shared" si="0"/>
        <v>0</v>
      </c>
      <c r="G22" s="1218">
        <f>VLOOKUP($A22,Forecast!$B$12:M$110,7)</f>
        <v>0</v>
      </c>
      <c r="H22" s="1246">
        <f>VLOOKUP($A22,Forecast!$B$12:M$110,8)</f>
        <v>0</v>
      </c>
      <c r="I22" s="1246">
        <f>VLOOKUP($A22,Forecast!$B$12:M$110,9)</f>
        <v>0</v>
      </c>
      <c r="J22" s="1246">
        <f>VLOOKUP($A22,Forecast!$B$12:N$110,10)</f>
        <v>0</v>
      </c>
      <c r="K22" s="1247">
        <f>VLOOKUP($A22,Forecast!$B$12:O$110,11)</f>
        <v>0</v>
      </c>
      <c r="L22" s="1221"/>
      <c r="M22" s="1221"/>
      <c r="N22" s="1221"/>
    </row>
    <row r="23" spans="1:248">
      <c r="A23" s="1204">
        <v>2.02</v>
      </c>
      <c r="B23" s="1174" t="s">
        <v>121</v>
      </c>
      <c r="C23" s="1214">
        <f>VLOOKUP($A23,Forecast!$B$12:L$110,3)</f>
        <v>0</v>
      </c>
      <c r="D23" s="1215">
        <f>VLOOKUP($A23,Forecast!$B$12:M$110,4)</f>
        <v>0</v>
      </c>
      <c r="E23" s="1216">
        <f>VLOOKUP($A23,Forecast!$B$12:M$110,5)</f>
        <v>0</v>
      </c>
      <c r="F23" s="1217">
        <f t="shared" si="0"/>
        <v>0</v>
      </c>
      <c r="G23" s="1218">
        <f>VLOOKUP($A23,Forecast!$B$12:M$110,7)</f>
        <v>0</v>
      </c>
      <c r="H23" s="1246">
        <f>VLOOKUP($A23,Forecast!$B$12:M$110,8)</f>
        <v>0</v>
      </c>
      <c r="I23" s="1246">
        <f>VLOOKUP($A23,Forecast!$B$12:M$110,9)</f>
        <v>0</v>
      </c>
      <c r="J23" s="1246">
        <f>VLOOKUP($A23,Forecast!$B$12:N$110,10)</f>
        <v>0</v>
      </c>
      <c r="K23" s="1247">
        <f>VLOOKUP($A23,Forecast!$B$12:O$110,11)</f>
        <v>0</v>
      </c>
      <c r="L23" s="1248"/>
      <c r="M23" s="1248"/>
      <c r="N23" s="1248"/>
    </row>
    <row r="24" spans="1:248">
      <c r="A24" s="1204">
        <v>2.04</v>
      </c>
      <c r="B24" s="1174" t="s">
        <v>122</v>
      </c>
      <c r="C24" s="1214">
        <f>VLOOKUP($A24,Forecast!$B$12:L$110,3)</f>
        <v>15031</v>
      </c>
      <c r="D24" s="1215">
        <f>VLOOKUP($A24,Forecast!$B$12:M$110,4)</f>
        <v>0</v>
      </c>
      <c r="E24" s="1216">
        <f>VLOOKUP($A24,Forecast!$B$12:M$110,5)</f>
        <v>0</v>
      </c>
      <c r="F24" s="1217">
        <f t="shared" si="0"/>
        <v>0</v>
      </c>
      <c r="G24" s="1218">
        <f>VLOOKUP($A24,Forecast!$B$12:M$110,7)</f>
        <v>0</v>
      </c>
      <c r="H24" s="1246">
        <f>VLOOKUP($A24,Forecast!$B$12:M$110,8)</f>
        <v>0</v>
      </c>
      <c r="I24" s="1246">
        <f>VLOOKUP($A24,Forecast!$B$12:M$110,9)</f>
        <v>0</v>
      </c>
      <c r="J24" s="1246">
        <f>VLOOKUP($A24,Forecast!$B$12:N$110,10)</f>
        <v>0</v>
      </c>
      <c r="K24" s="1247">
        <f>VLOOKUP($A24,Forecast!$B$12:O$110,11)</f>
        <v>0</v>
      </c>
      <c r="L24" s="1248"/>
      <c r="M24" s="1248"/>
      <c r="N24" s="1248"/>
    </row>
    <row r="25" spans="1:248">
      <c r="A25" s="1204">
        <v>2.0499999999999998</v>
      </c>
      <c r="B25" s="1174" t="s">
        <v>123</v>
      </c>
      <c r="C25" s="1214">
        <f>VLOOKUP($A25,Forecast!$B$12:L$110,3)</f>
        <v>0</v>
      </c>
      <c r="D25" s="1215">
        <f>VLOOKUP($A25,Forecast!$B$12:M$110,4)</f>
        <v>3284</v>
      </c>
      <c r="E25" s="1216">
        <f>VLOOKUP($A25,Forecast!$B$12:M$110,5)</f>
        <v>0</v>
      </c>
      <c r="F25" s="1217">
        <f t="shared" si="0"/>
        <v>0</v>
      </c>
      <c r="G25" s="1218">
        <f>VLOOKUP($A25,Forecast!$B$12:M$110,7)</f>
        <v>102915</v>
      </c>
      <c r="H25" s="1246">
        <f>VLOOKUP($A25,Forecast!$B$12:M$110,8)</f>
        <v>0</v>
      </c>
      <c r="I25" s="1246">
        <f>VLOOKUP($A25,Forecast!$B$12:M$110,9)</f>
        <v>0</v>
      </c>
      <c r="J25" s="1246">
        <f>VLOOKUP($A25,Forecast!$B$12:N$110,10)</f>
        <v>0</v>
      </c>
      <c r="K25" s="1247">
        <f>VLOOKUP($A25,Forecast!$B$12:O$110,11)</f>
        <v>0</v>
      </c>
      <c r="L25" s="1248"/>
      <c r="M25" s="1248"/>
      <c r="N25" s="1248"/>
    </row>
    <row r="26" spans="1:248">
      <c r="A26" s="1204">
        <v>2.06</v>
      </c>
      <c r="B26" s="1174" t="s">
        <v>124</v>
      </c>
      <c r="C26" s="1223">
        <f>VLOOKUP($A26,Forecast!$B$12:L$110,3)</f>
        <v>295270</v>
      </c>
      <c r="D26" s="1224">
        <f>VLOOKUP($A26,Forecast!$B$12:M$110,4)</f>
        <v>229040</v>
      </c>
      <c r="E26" s="1225">
        <f>VLOOKUP($A26,Forecast!$B$12:M$110,5)</f>
        <v>888651</v>
      </c>
      <c r="F26" s="1226">
        <f t="shared" si="0"/>
        <v>1.327795580729755</v>
      </c>
      <c r="G26" s="1227">
        <f>VLOOKUP($A26,Forecast!$B$12:M$110,7)</f>
        <v>301166</v>
      </c>
      <c r="H26" s="1246">
        <f>VLOOKUP($A26,Forecast!$B$12:M$110,8)</f>
        <v>301166</v>
      </c>
      <c r="I26" s="1246">
        <f>VLOOKUP($A26,Forecast!$B$12:M$110,9)</f>
        <v>301166</v>
      </c>
      <c r="J26" s="1246">
        <f>VLOOKUP($A26,Forecast!$B$12:N$110,10)</f>
        <v>301166</v>
      </c>
      <c r="K26" s="1247">
        <f>VLOOKUP($A26,Forecast!$B$12:O$110,11)</f>
        <v>301166</v>
      </c>
      <c r="L26" s="1248"/>
      <c r="M26" s="1248"/>
      <c r="N26" s="1248"/>
    </row>
    <row r="27" spans="1:248">
      <c r="A27" s="1204">
        <v>2.0699999999999998</v>
      </c>
      <c r="B27" s="1249" t="s">
        <v>209</v>
      </c>
      <c r="C27" s="1250">
        <f>SUM(C22:C26)</f>
        <v>310301</v>
      </c>
      <c r="D27" s="1251">
        <f>SUM(D22:D26)</f>
        <v>232324</v>
      </c>
      <c r="E27" s="1252">
        <f>SUM(E22:E26)</f>
        <v>888651</v>
      </c>
      <c r="F27" s="1235">
        <f t="shared" si="0"/>
        <v>1.2868778250417336</v>
      </c>
      <c r="G27" s="1253">
        <f>SUM(G22:G26)</f>
        <v>404081</v>
      </c>
      <c r="H27" s="1254">
        <f>SUM(H22:H26)</f>
        <v>301166</v>
      </c>
      <c r="I27" s="1254">
        <f>SUM(I22:I26)</f>
        <v>301166</v>
      </c>
      <c r="J27" s="1254">
        <f>SUM(J22:J26)</f>
        <v>301166</v>
      </c>
      <c r="K27" s="1255">
        <f>SUM(K22:K26)</f>
        <v>301166</v>
      </c>
      <c r="L27" s="1248"/>
      <c r="M27" s="1248"/>
      <c r="N27" s="1248"/>
    </row>
    <row r="28" spans="1:248" s="1239" customFormat="1" ht="14.4">
      <c r="A28" s="1230">
        <v>2.08</v>
      </c>
      <c r="B28" s="1231" t="s">
        <v>125</v>
      </c>
      <c r="C28" s="1256">
        <f>C19+C27</f>
        <v>35126637</v>
      </c>
      <c r="D28" s="1257">
        <f>D19+D27</f>
        <v>34924401</v>
      </c>
      <c r="E28" s="1258">
        <f>E19+E27</f>
        <v>36293602</v>
      </c>
      <c r="F28" s="1259">
        <f t="shared" si="0"/>
        <v>1.6723684701947638E-2</v>
      </c>
      <c r="G28" s="1260">
        <f>G19+G27</f>
        <v>32857680</v>
      </c>
      <c r="H28" s="1261">
        <f>H19+H27</f>
        <v>33125772</v>
      </c>
      <c r="I28" s="1261">
        <f>I19+I27</f>
        <v>32314991</v>
      </c>
      <c r="J28" s="1261">
        <f>J19+J27</f>
        <v>32244150</v>
      </c>
      <c r="K28" s="1262">
        <f>K19+K27</f>
        <v>32376642</v>
      </c>
    </row>
    <row r="29" spans="1:248" ht="8.25" customHeight="1">
      <c r="A29" s="1204"/>
      <c r="C29" s="1240"/>
      <c r="D29" s="1241"/>
      <c r="E29" s="1242"/>
      <c r="F29" s="1209"/>
      <c r="G29" s="1243"/>
      <c r="H29" s="1263"/>
      <c r="I29" s="1263"/>
      <c r="J29" s="1263"/>
      <c r="K29" s="1264"/>
    </row>
    <row r="30" spans="1:248">
      <c r="A30" s="1204"/>
      <c r="B30" s="1205" t="s">
        <v>10</v>
      </c>
      <c r="C30" s="1240"/>
      <c r="D30" s="1241"/>
      <c r="E30" s="1242"/>
      <c r="F30" s="1209"/>
      <c r="G30" s="1243"/>
      <c r="H30" s="1244"/>
      <c r="I30" s="1244"/>
      <c r="J30" s="1244"/>
      <c r="K30" s="1245"/>
    </row>
    <row r="31" spans="1:248">
      <c r="A31" s="1204">
        <v>3.01</v>
      </c>
      <c r="B31" s="1213" t="s">
        <v>126</v>
      </c>
      <c r="C31" s="1214">
        <f>VLOOKUP($A31,Forecast!$B$12:L$110,3)</f>
        <v>16205353</v>
      </c>
      <c r="D31" s="1215">
        <f>VLOOKUP($A31,Forecast!$B$12:M$110,4)</f>
        <v>16810475</v>
      </c>
      <c r="E31" s="1216">
        <f>VLOOKUP($A31,Forecast!$B$12:M$110,5)</f>
        <v>17188441</v>
      </c>
      <c r="F31" s="1217">
        <f t="shared" si="0"/>
        <v>2.9912414214798046E-2</v>
      </c>
      <c r="G31" s="1218">
        <f>VLOOKUP($A31,Forecast!$B$12:M$110,7)</f>
        <v>17339955</v>
      </c>
      <c r="H31" s="1219">
        <f>VLOOKUP($A31,Forecast!$B$12:M$110,8)</f>
        <v>17958872</v>
      </c>
      <c r="I31" s="1219">
        <f>VLOOKUP($A31,Forecast!$B$12:M$110,9)</f>
        <v>18600999</v>
      </c>
      <c r="J31" s="1219">
        <f>VLOOKUP($A31,Forecast!$B$12:N$110,10)</f>
        <v>18911895</v>
      </c>
      <c r="K31" s="1220">
        <f>VLOOKUP($A31,Forecast!$B$12:O$110,11)</f>
        <v>19228232</v>
      </c>
      <c r="L31" s="1221"/>
      <c r="M31" s="1221"/>
      <c r="N31" s="1221"/>
      <c r="O31" s="1221"/>
      <c r="P31" s="1221"/>
      <c r="Q31" s="1221"/>
      <c r="R31" s="1221"/>
      <c r="S31" s="1221"/>
      <c r="T31" s="1221"/>
      <c r="U31" s="1221"/>
      <c r="V31" s="1221"/>
      <c r="W31" s="1221"/>
      <c r="X31" s="1221"/>
      <c r="Y31" s="1221"/>
      <c r="Z31" s="1221"/>
      <c r="AA31" s="1221"/>
      <c r="AB31" s="1221"/>
      <c r="AC31" s="1221"/>
      <c r="AD31" s="1221"/>
      <c r="AE31" s="1221"/>
      <c r="AF31" s="1221"/>
      <c r="AG31" s="1221"/>
      <c r="AH31" s="1221"/>
      <c r="AI31" s="1221"/>
      <c r="AJ31" s="1221"/>
      <c r="AK31" s="1221"/>
      <c r="AL31" s="1221"/>
      <c r="AM31" s="1221"/>
      <c r="AN31" s="1221"/>
      <c r="AO31" s="1221"/>
      <c r="AP31" s="1221"/>
      <c r="AQ31" s="1221"/>
      <c r="AR31" s="1221"/>
      <c r="AS31" s="1221"/>
      <c r="AT31" s="1221"/>
      <c r="AU31" s="1221"/>
      <c r="AV31" s="1221"/>
      <c r="AW31" s="1221"/>
      <c r="AX31" s="1221"/>
      <c r="AY31" s="1221"/>
      <c r="AZ31" s="1221"/>
      <c r="BA31" s="1221"/>
      <c r="BB31" s="1221"/>
      <c r="BC31" s="1221"/>
      <c r="BD31" s="1221"/>
      <c r="BE31" s="1221"/>
      <c r="BF31" s="1221"/>
      <c r="BG31" s="1221"/>
      <c r="BH31" s="1221"/>
      <c r="BI31" s="1221"/>
      <c r="BJ31" s="1221"/>
      <c r="BK31" s="1221"/>
      <c r="BL31" s="1221"/>
      <c r="BM31" s="1221"/>
      <c r="BN31" s="1221"/>
      <c r="BO31" s="1221"/>
      <c r="BP31" s="1221"/>
      <c r="BQ31" s="1221"/>
      <c r="BR31" s="1221"/>
      <c r="BS31" s="1221"/>
      <c r="BT31" s="1221"/>
      <c r="BU31" s="1221"/>
      <c r="BV31" s="1221"/>
      <c r="BW31" s="1221"/>
      <c r="BX31" s="1221"/>
      <c r="BY31" s="1221"/>
      <c r="BZ31" s="1221"/>
      <c r="CA31" s="1221"/>
      <c r="CB31" s="1221"/>
      <c r="CC31" s="1221"/>
      <c r="CD31" s="1221"/>
      <c r="CE31" s="1221"/>
      <c r="CF31" s="1221"/>
      <c r="CG31" s="1221"/>
      <c r="CH31" s="1221"/>
      <c r="CI31" s="1221"/>
      <c r="CJ31" s="1221"/>
      <c r="CK31" s="1221"/>
      <c r="CL31" s="1221"/>
      <c r="CM31" s="1221"/>
      <c r="CN31" s="1221"/>
      <c r="CO31" s="1221"/>
      <c r="CP31" s="1221"/>
      <c r="CQ31" s="1221"/>
      <c r="CR31" s="1221"/>
      <c r="CS31" s="1221"/>
      <c r="CT31" s="1221"/>
      <c r="CU31" s="1221"/>
      <c r="CV31" s="1221"/>
      <c r="CW31" s="1221"/>
      <c r="CX31" s="1221"/>
      <c r="CY31" s="1221"/>
      <c r="CZ31" s="1221"/>
      <c r="DA31" s="1221"/>
      <c r="DB31" s="1221"/>
      <c r="DC31" s="1221"/>
      <c r="DD31" s="1221"/>
      <c r="DE31" s="1221"/>
      <c r="DF31" s="1221"/>
      <c r="DG31" s="1221"/>
      <c r="DH31" s="1221"/>
      <c r="DI31" s="1221"/>
      <c r="DJ31" s="1221"/>
      <c r="DK31" s="1221"/>
      <c r="DL31" s="1221"/>
      <c r="DM31" s="1221"/>
      <c r="DN31" s="1221"/>
      <c r="DO31" s="1221"/>
      <c r="DP31" s="1221"/>
      <c r="DQ31" s="1221"/>
      <c r="DR31" s="1221"/>
      <c r="DS31" s="1221"/>
      <c r="DT31" s="1221"/>
      <c r="DU31" s="1221"/>
      <c r="DV31" s="1221"/>
      <c r="DW31" s="1221"/>
      <c r="DX31" s="1221"/>
      <c r="DY31" s="1221"/>
      <c r="DZ31" s="1221"/>
      <c r="EA31" s="1221"/>
      <c r="EB31" s="1221"/>
      <c r="EC31" s="1221"/>
      <c r="ED31" s="1221"/>
      <c r="EE31" s="1221"/>
      <c r="EF31" s="1221"/>
      <c r="EG31" s="1221"/>
      <c r="EH31" s="1221"/>
      <c r="EI31" s="1221"/>
      <c r="EJ31" s="1221"/>
      <c r="EK31" s="1221"/>
      <c r="EL31" s="1221"/>
      <c r="EM31" s="1221"/>
      <c r="EN31" s="1221"/>
      <c r="EO31" s="1221"/>
      <c r="EP31" s="1221"/>
      <c r="EQ31" s="1221"/>
      <c r="ER31" s="1221"/>
      <c r="ES31" s="1221"/>
      <c r="ET31" s="1221"/>
      <c r="EU31" s="1221"/>
      <c r="EV31" s="1221"/>
      <c r="EW31" s="1221"/>
      <c r="EX31" s="1221"/>
      <c r="EY31" s="1221"/>
      <c r="EZ31" s="1221"/>
      <c r="FA31" s="1221"/>
      <c r="FB31" s="1221"/>
      <c r="FC31" s="1221"/>
      <c r="FD31" s="1221"/>
      <c r="FE31" s="1221"/>
      <c r="FF31" s="1221"/>
      <c r="FG31" s="1221"/>
      <c r="FH31" s="1221"/>
      <c r="FI31" s="1221"/>
      <c r="FJ31" s="1221"/>
      <c r="FK31" s="1221"/>
      <c r="FL31" s="1221"/>
      <c r="FM31" s="1221"/>
      <c r="FN31" s="1221"/>
      <c r="FO31" s="1221"/>
      <c r="FP31" s="1221"/>
      <c r="FQ31" s="1221"/>
      <c r="FR31" s="1221"/>
      <c r="FS31" s="1221"/>
      <c r="FT31" s="1221"/>
      <c r="FU31" s="1221"/>
      <c r="FV31" s="1221"/>
      <c r="FW31" s="1221"/>
      <c r="FX31" s="1221"/>
      <c r="FY31" s="1221"/>
      <c r="FZ31" s="1221"/>
      <c r="GA31" s="1221"/>
      <c r="GB31" s="1221"/>
      <c r="GC31" s="1221"/>
      <c r="GD31" s="1221"/>
      <c r="GE31" s="1221"/>
      <c r="GF31" s="1221"/>
      <c r="GG31" s="1221"/>
      <c r="GH31" s="1221"/>
      <c r="GI31" s="1221"/>
      <c r="GJ31" s="1221"/>
      <c r="GK31" s="1221"/>
      <c r="GL31" s="1221"/>
      <c r="GM31" s="1221"/>
      <c r="GN31" s="1221"/>
      <c r="GO31" s="1221"/>
      <c r="GP31" s="1221"/>
      <c r="GQ31" s="1221"/>
      <c r="GR31" s="1221"/>
      <c r="GS31" s="1221"/>
      <c r="GT31" s="1221"/>
      <c r="GU31" s="1221"/>
      <c r="GV31" s="1221"/>
      <c r="GW31" s="1221"/>
      <c r="GX31" s="1221"/>
      <c r="GY31" s="1221"/>
      <c r="GZ31" s="1221"/>
      <c r="HA31" s="1221"/>
      <c r="HB31" s="1221"/>
      <c r="HC31" s="1221"/>
      <c r="HD31" s="1221"/>
      <c r="HE31" s="1221"/>
      <c r="HF31" s="1221"/>
      <c r="HG31" s="1221"/>
      <c r="HH31" s="1221"/>
      <c r="HI31" s="1221"/>
      <c r="HJ31" s="1221"/>
      <c r="HK31" s="1221"/>
      <c r="HL31" s="1221"/>
      <c r="HM31" s="1221"/>
      <c r="HN31" s="1221"/>
      <c r="HO31" s="1221"/>
      <c r="HP31" s="1221"/>
      <c r="HQ31" s="1221"/>
      <c r="HR31" s="1221"/>
      <c r="HS31" s="1221"/>
      <c r="HT31" s="1221"/>
      <c r="HU31" s="1221"/>
      <c r="HV31" s="1221"/>
      <c r="HW31" s="1221"/>
      <c r="HX31" s="1221"/>
      <c r="HY31" s="1221"/>
      <c r="HZ31" s="1221"/>
      <c r="IA31" s="1221"/>
      <c r="IB31" s="1221"/>
      <c r="IC31" s="1221"/>
      <c r="ID31" s="1221"/>
      <c r="IE31" s="1221"/>
      <c r="IF31" s="1221"/>
      <c r="IG31" s="1221"/>
      <c r="IH31" s="1221"/>
      <c r="II31" s="1221"/>
      <c r="IJ31" s="1221"/>
      <c r="IK31" s="1221"/>
      <c r="IL31" s="1221"/>
      <c r="IM31" s="1221"/>
      <c r="IN31" s="1221"/>
    </row>
    <row r="32" spans="1:248">
      <c r="A32" s="1204">
        <v>3.02</v>
      </c>
      <c r="B32" s="1174" t="s">
        <v>127</v>
      </c>
      <c r="C32" s="1214">
        <f>VLOOKUP($A32,Forecast!$B$12:L$110,3)</f>
        <v>9141807</v>
      </c>
      <c r="D32" s="1215">
        <f>VLOOKUP($A32,Forecast!$B$12:M$110,4)</f>
        <v>9594127</v>
      </c>
      <c r="E32" s="1216">
        <f>VLOOKUP($A32,Forecast!$B$12:M$110,5)</f>
        <v>10070631</v>
      </c>
      <c r="F32" s="1217">
        <f t="shared" si="0"/>
        <v>4.9572200354944626E-2</v>
      </c>
      <c r="G32" s="1218">
        <f>VLOOKUP($A32,Forecast!$B$12:M$110,7)</f>
        <v>11450289</v>
      </c>
      <c r="H32" s="1219">
        <f>VLOOKUP($A32,Forecast!$B$12:M$110,8)</f>
        <v>11855301</v>
      </c>
      <c r="I32" s="1219">
        <f>VLOOKUP($A32,Forecast!$B$12:M$110,9)</f>
        <v>12274763</v>
      </c>
      <c r="J32" s="1219">
        <f>VLOOKUP($A32,Forecast!$B$12:N$110,10)</f>
        <v>12631454</v>
      </c>
      <c r="K32" s="1220">
        <f>VLOOKUP($A32,Forecast!$B$12:O$110,11)</f>
        <v>13082841</v>
      </c>
    </row>
    <row r="33" spans="1:248">
      <c r="A33" s="1204">
        <v>3.03</v>
      </c>
      <c r="B33" s="1174" t="s">
        <v>281</v>
      </c>
      <c r="C33" s="1214">
        <f>VLOOKUP($A33,Forecast!$B$12:L$110,3)</f>
        <v>7217183</v>
      </c>
      <c r="D33" s="1215">
        <f>VLOOKUP($A33,Forecast!$B$12:M$110,4)</f>
        <v>7165014</v>
      </c>
      <c r="E33" s="1216">
        <f>VLOOKUP($A33,Forecast!$B$12:M$110,5)</f>
        <v>7401420</v>
      </c>
      <c r="F33" s="1217">
        <f t="shared" si="0"/>
        <v>1.2883024420625199E-2</v>
      </c>
      <c r="G33" s="1218">
        <f>VLOOKUP($A33,Forecast!$B$12:M$110,7)</f>
        <v>3758656</v>
      </c>
      <c r="H33" s="1219">
        <f>VLOOKUP($A33,Forecast!$B$12:M$110,8)</f>
        <v>3782202</v>
      </c>
      <c r="I33" s="1219">
        <f>VLOOKUP($A33,Forecast!$B$12:M$110,9)</f>
        <v>3806327</v>
      </c>
      <c r="J33" s="1219">
        <f>VLOOKUP($A33,Forecast!$B$12:N$110,10)</f>
        <v>3831047</v>
      </c>
      <c r="K33" s="1220">
        <f>VLOOKUP($A33,Forecast!$B$12:O$110,11)</f>
        <v>3856378</v>
      </c>
    </row>
    <row r="34" spans="1:248">
      <c r="A34" s="1204">
        <v>3.04</v>
      </c>
      <c r="B34" s="1174" t="s">
        <v>128</v>
      </c>
      <c r="C34" s="1214">
        <f>VLOOKUP($A34,Forecast!$B$12:L$110,3)</f>
        <v>914145</v>
      </c>
      <c r="D34" s="1215">
        <f>VLOOKUP($A34,Forecast!$B$12:M$110,4)</f>
        <v>929926</v>
      </c>
      <c r="E34" s="1216">
        <f>VLOOKUP($A34,Forecast!$B$12:M$110,5)</f>
        <v>906334</v>
      </c>
      <c r="F34" s="1217">
        <f t="shared" si="0"/>
        <v>-4.0533174758373633E-3</v>
      </c>
      <c r="G34" s="1218">
        <f>VLOOKUP($A34,Forecast!$B$12:M$110,7)</f>
        <v>652926</v>
      </c>
      <c r="H34" s="1219">
        <f>VLOOKUP($A34,Forecast!$B$12:M$110,8)</f>
        <v>657902</v>
      </c>
      <c r="I34" s="1219">
        <f>VLOOKUP($A34,Forecast!$B$12:M$110,9)</f>
        <v>657902</v>
      </c>
      <c r="J34" s="1219">
        <f>VLOOKUP($A34,Forecast!$B$12:N$110,10)</f>
        <v>657902</v>
      </c>
      <c r="K34" s="1220">
        <f>VLOOKUP($A34,Forecast!$B$12:O$110,11)</f>
        <v>657902</v>
      </c>
    </row>
    <row r="35" spans="1:248">
      <c r="A35" s="1204">
        <v>3.05</v>
      </c>
      <c r="B35" s="1174" t="s">
        <v>45</v>
      </c>
      <c r="C35" s="1214">
        <f>VLOOKUP($A35,Forecast!$B$12:L$110,3)</f>
        <v>615808</v>
      </c>
      <c r="D35" s="1215">
        <f>VLOOKUP($A35,Forecast!$B$12:M$110,4)</f>
        <v>505281</v>
      </c>
      <c r="E35" s="1216">
        <f>VLOOKUP($A35,Forecast!$B$12:M$110,5)</f>
        <v>221228</v>
      </c>
      <c r="F35" s="1217">
        <f t="shared" si="0"/>
        <v>-0.37082563418349113</v>
      </c>
      <c r="G35" s="1218">
        <f>VLOOKUP($A35,Forecast!$B$12:M$110,7)</f>
        <v>323735</v>
      </c>
      <c r="H35" s="1219">
        <f>VLOOKUP($A35,Forecast!$B$12:M$110,8)</f>
        <v>534775</v>
      </c>
      <c r="I35" s="1219">
        <f>VLOOKUP($A35,Forecast!$B$12:M$110,9)</f>
        <v>536673</v>
      </c>
      <c r="J35" s="1219">
        <f>VLOOKUP($A35,Forecast!$B$12:N$110,10)</f>
        <v>538590</v>
      </c>
      <c r="K35" s="1220">
        <f>VLOOKUP($A35,Forecast!$B$12:O$110,11)</f>
        <v>540526</v>
      </c>
    </row>
    <row r="36" spans="1:248">
      <c r="A36" s="1204">
        <v>3.06</v>
      </c>
      <c r="B36" s="1174" t="s">
        <v>213</v>
      </c>
      <c r="C36" s="1214">
        <f>VLOOKUP($A36,Forecast!$B$12:L$110,3)</f>
        <v>0</v>
      </c>
      <c r="D36" s="1215">
        <f>VLOOKUP($A36,Forecast!$B$12:M$110,4)</f>
        <v>0</v>
      </c>
      <c r="E36" s="1216">
        <f>VLOOKUP($A36,Forecast!$B$12:M$110,5)</f>
        <v>0</v>
      </c>
      <c r="F36" s="1217">
        <f t="shared" si="0"/>
        <v>0</v>
      </c>
      <c r="G36" s="1218">
        <f>VLOOKUP($A36,Forecast!$B$12:M$110,7)</f>
        <v>0</v>
      </c>
      <c r="H36" s="1246">
        <f>VLOOKUP($A36,Forecast!$B$12:M$110,8)</f>
        <v>0</v>
      </c>
      <c r="I36" s="1246">
        <f>VLOOKUP($A36,Forecast!$B$12:M$110,9)</f>
        <v>0</v>
      </c>
      <c r="J36" s="1246">
        <f>VLOOKUP($A36,Forecast!$B$12:N$110,10)</f>
        <v>0</v>
      </c>
      <c r="K36" s="1247">
        <f>VLOOKUP($A36,Forecast!$B$12:O$110,11)</f>
        <v>0</v>
      </c>
    </row>
    <row r="37" spans="1:248">
      <c r="A37" s="1204"/>
      <c r="B37" s="1222" t="s">
        <v>214</v>
      </c>
      <c r="C37" s="1214"/>
      <c r="D37" s="1215"/>
      <c r="E37" s="1216"/>
      <c r="F37" s="1217"/>
      <c r="G37" s="1218"/>
      <c r="H37" s="1246"/>
      <c r="I37" s="1246"/>
      <c r="J37" s="1246"/>
      <c r="K37" s="1247"/>
    </row>
    <row r="38" spans="1:248">
      <c r="A38" s="1204">
        <v>4.01</v>
      </c>
      <c r="B38" s="1174" t="s">
        <v>129</v>
      </c>
      <c r="C38" s="1214">
        <f>VLOOKUP($A38,Forecast!$B$12:L$110,3)</f>
        <v>0</v>
      </c>
      <c r="D38" s="1215">
        <f>VLOOKUP($A38,Forecast!$B$12:M$110,4)</f>
        <v>0</v>
      </c>
      <c r="E38" s="1216">
        <f>VLOOKUP($A38,Forecast!$B$12:M$110,5)</f>
        <v>0</v>
      </c>
      <c r="F38" s="1217">
        <f t="shared" si="0"/>
        <v>0</v>
      </c>
      <c r="G38" s="1218">
        <f>VLOOKUP($A38,Forecast!$B$12:M$110,7)</f>
        <v>0</v>
      </c>
      <c r="H38" s="1246">
        <f>VLOOKUP($A38,Forecast!$B$12:M$110,8)</f>
        <v>0</v>
      </c>
      <c r="I38" s="1246">
        <f>VLOOKUP($A38,Forecast!$B$12:M$110,9)</f>
        <v>0</v>
      </c>
      <c r="J38" s="1246">
        <f>VLOOKUP($A38,Forecast!$B$12:N$110,10)</f>
        <v>0</v>
      </c>
      <c r="K38" s="1247">
        <f>VLOOKUP($A38,Forecast!$B$12:O$110,11)</f>
        <v>0</v>
      </c>
    </row>
    <row r="39" spans="1:248">
      <c r="A39" s="1204">
        <v>4.0199999999999996</v>
      </c>
      <c r="B39" s="1174" t="s">
        <v>130</v>
      </c>
      <c r="C39" s="1214">
        <f>VLOOKUP($A39,Forecast!$B$12:L$110,3)</f>
        <v>0</v>
      </c>
      <c r="D39" s="1215">
        <f>VLOOKUP($A39,Forecast!$B$12:M$110,4)</f>
        <v>0</v>
      </c>
      <c r="E39" s="1216">
        <f>VLOOKUP($A39,Forecast!$B$12:M$110,5)</f>
        <v>0</v>
      </c>
      <c r="F39" s="1217">
        <f t="shared" si="0"/>
        <v>0</v>
      </c>
      <c r="G39" s="1218">
        <f>VLOOKUP($A39,Forecast!$B$12:M$110,7)</f>
        <v>0</v>
      </c>
      <c r="H39" s="1246">
        <f>VLOOKUP($A39,Forecast!$B$12:M$110,8)</f>
        <v>0</v>
      </c>
      <c r="I39" s="1246">
        <f>VLOOKUP($A39,Forecast!$B$12:M$110,9)</f>
        <v>0</v>
      </c>
      <c r="J39" s="1246">
        <f>VLOOKUP($A39,Forecast!$B$12:N$110,10)</f>
        <v>0</v>
      </c>
      <c r="K39" s="1247">
        <f>VLOOKUP($A39,Forecast!$B$12:O$110,11)</f>
        <v>0</v>
      </c>
    </row>
    <row r="40" spans="1:248">
      <c r="A40" s="1204">
        <v>4.03</v>
      </c>
      <c r="B40" s="1174" t="s">
        <v>131</v>
      </c>
      <c r="C40" s="1214">
        <f>VLOOKUP($A40,Forecast!$B$12:L$110,3)</f>
        <v>0</v>
      </c>
      <c r="D40" s="1215">
        <f>VLOOKUP($A40,Forecast!$B$12:M$110,4)</f>
        <v>0</v>
      </c>
      <c r="E40" s="1216">
        <f>VLOOKUP($A40,Forecast!$B$12:M$110,5)</f>
        <v>0</v>
      </c>
      <c r="F40" s="1217">
        <f t="shared" si="0"/>
        <v>0</v>
      </c>
      <c r="G40" s="1218">
        <f>VLOOKUP($A40,Forecast!$B$12:M$110,7)</f>
        <v>0</v>
      </c>
      <c r="H40" s="1246">
        <f>VLOOKUP($A40,Forecast!$B$12:M$110,8)</f>
        <v>0</v>
      </c>
      <c r="I40" s="1246">
        <f>VLOOKUP($A40,Forecast!$B$12:M$110,9)</f>
        <v>0</v>
      </c>
      <c r="J40" s="1246">
        <f>VLOOKUP($A40,Forecast!$B$12:N$110,10)</f>
        <v>0</v>
      </c>
      <c r="K40" s="1247">
        <f>VLOOKUP($A40,Forecast!$B$12:O$110,11)</f>
        <v>0</v>
      </c>
    </row>
    <row r="41" spans="1:248">
      <c r="A41" s="1204">
        <v>4.04</v>
      </c>
      <c r="B41" s="1174" t="s">
        <v>132</v>
      </c>
      <c r="C41" s="1214">
        <f>VLOOKUP($A41,Forecast!$B$12:L$110,3)</f>
        <v>0</v>
      </c>
      <c r="D41" s="1215">
        <f>VLOOKUP($A41,Forecast!$B$12:M$110,4)</f>
        <v>0</v>
      </c>
      <c r="E41" s="1216">
        <f>VLOOKUP($A41,Forecast!$B$12:M$110,5)</f>
        <v>0</v>
      </c>
      <c r="F41" s="1217">
        <f t="shared" si="0"/>
        <v>0</v>
      </c>
      <c r="G41" s="1218">
        <f>VLOOKUP($A41,Forecast!$B$12:M$110,7)</f>
        <v>0</v>
      </c>
      <c r="H41" s="1246">
        <f>VLOOKUP($A41,Forecast!$B$12:M$110,8)</f>
        <v>0</v>
      </c>
      <c r="I41" s="1246">
        <f>VLOOKUP($A41,Forecast!$B$12:M$110,9)</f>
        <v>0</v>
      </c>
      <c r="J41" s="1246">
        <f>VLOOKUP($A41,Forecast!$B$12:N$110,10)</f>
        <v>0</v>
      </c>
      <c r="K41" s="1247">
        <f>VLOOKUP($A41,Forecast!$B$12:O$110,11)</f>
        <v>0</v>
      </c>
    </row>
    <row r="42" spans="1:248">
      <c r="A42" s="1204">
        <v>4.05</v>
      </c>
      <c r="B42" s="1174" t="s">
        <v>133</v>
      </c>
      <c r="C42" s="1214">
        <f>VLOOKUP($A42,Forecast!$B$12:L$110,3)</f>
        <v>0</v>
      </c>
      <c r="D42" s="1215">
        <f>VLOOKUP($A42,Forecast!$B$12:M$110,4)</f>
        <v>0</v>
      </c>
      <c r="E42" s="1216">
        <f>VLOOKUP($A42,Forecast!$B$12:M$110,5)</f>
        <v>0</v>
      </c>
      <c r="F42" s="1217">
        <f t="shared" si="0"/>
        <v>0</v>
      </c>
      <c r="G42" s="1218">
        <f>VLOOKUP($A42,Forecast!$B$12:M$110,7)</f>
        <v>0</v>
      </c>
      <c r="H42" s="1246">
        <f>VLOOKUP($A42,Forecast!$B$12:M$110,8)</f>
        <v>0</v>
      </c>
      <c r="I42" s="1246">
        <f>VLOOKUP($A42,Forecast!$B$12:M$110,9)</f>
        <v>0</v>
      </c>
      <c r="J42" s="1246">
        <f>VLOOKUP($A42,Forecast!$B$12:N$110,10)</f>
        <v>0</v>
      </c>
      <c r="K42" s="1247">
        <f>VLOOKUP($A42,Forecast!$B$12:O$110,11)</f>
        <v>0</v>
      </c>
    </row>
    <row r="43" spans="1:248">
      <c r="A43" s="1204">
        <v>4.0549999999999997</v>
      </c>
      <c r="B43" s="1174" t="s">
        <v>134</v>
      </c>
      <c r="C43" s="1214">
        <f>VLOOKUP($A43,Forecast!$B$12:L$110,3)</f>
        <v>0</v>
      </c>
      <c r="D43" s="1215">
        <f>VLOOKUP($A43,Forecast!$B$12:M$110,4)</f>
        <v>0</v>
      </c>
      <c r="E43" s="1216">
        <f>VLOOKUP($A43,Forecast!$B$12:M$110,5)</f>
        <v>0</v>
      </c>
      <c r="F43" s="1217">
        <f t="shared" si="0"/>
        <v>0</v>
      </c>
      <c r="G43" s="1218">
        <f>VLOOKUP($A43,Forecast!$B$12:M$110,7)</f>
        <v>0</v>
      </c>
      <c r="H43" s="1246">
        <f>VLOOKUP($A43,Forecast!$B$12:M$110,8)</f>
        <v>0</v>
      </c>
      <c r="I43" s="1246">
        <f>VLOOKUP($A43,Forecast!$B$12:M$110,9)</f>
        <v>0</v>
      </c>
      <c r="J43" s="1246">
        <f>VLOOKUP($A43,Forecast!$B$12:N$110,10)</f>
        <v>0</v>
      </c>
      <c r="K43" s="1247">
        <f>VLOOKUP($A43,Forecast!$B$12:O$110,11)</f>
        <v>0</v>
      </c>
    </row>
    <row r="44" spans="1:248">
      <c r="A44" s="1204">
        <v>4.0599999999999996</v>
      </c>
      <c r="B44" s="1174" t="s">
        <v>135</v>
      </c>
      <c r="C44" s="1214">
        <f>VLOOKUP($A44,Forecast!$B$12:L$110,3)</f>
        <v>0</v>
      </c>
      <c r="D44" s="1215">
        <f>VLOOKUP($A44,Forecast!$B$12:M$110,4)</f>
        <v>0</v>
      </c>
      <c r="E44" s="1216">
        <f>VLOOKUP($A44,Forecast!$B$12:M$110,5)</f>
        <v>0</v>
      </c>
      <c r="F44" s="1217">
        <f t="shared" si="0"/>
        <v>0</v>
      </c>
      <c r="G44" s="1218">
        <f>VLOOKUP($A44,Forecast!$B$12:M$110,7)</f>
        <v>0</v>
      </c>
      <c r="H44" s="1246">
        <f>VLOOKUP($A44,Forecast!$B$12:M$110,8)</f>
        <v>0</v>
      </c>
      <c r="I44" s="1246">
        <f>VLOOKUP($A44,Forecast!$B$12:M$110,9)</f>
        <v>0</v>
      </c>
      <c r="J44" s="1246">
        <f>VLOOKUP($A44,Forecast!$B$12:N$110,10)</f>
        <v>0</v>
      </c>
      <c r="K44" s="1247">
        <f>VLOOKUP($A44,Forecast!$B$12:O$110,11)</f>
        <v>0</v>
      </c>
    </row>
    <row r="45" spans="1:248">
      <c r="A45" s="1204">
        <v>4.3</v>
      </c>
      <c r="B45" s="1174" t="s">
        <v>136</v>
      </c>
      <c r="C45" s="1223">
        <f>VLOOKUP($A45,Forecast!$B$12:L$110,3)</f>
        <v>348692</v>
      </c>
      <c r="D45" s="1224">
        <f>VLOOKUP($A45,Forecast!$B$12:M$110,4)</f>
        <v>385425</v>
      </c>
      <c r="E45" s="1225">
        <f>VLOOKUP($A45,Forecast!$B$12:M$110,5)</f>
        <v>364583</v>
      </c>
      <c r="F45" s="1226">
        <f t="shared" si="0"/>
        <v>2.5634873492300165E-2</v>
      </c>
      <c r="G45" s="1227">
        <f>VLOOKUP($A45,Forecast!$B$12:M$110,7)</f>
        <v>411504</v>
      </c>
      <c r="H45" s="1265">
        <f>VLOOKUP($A45,Forecast!$B$12:M$110,8)</f>
        <v>415620</v>
      </c>
      <c r="I45" s="1265">
        <f>VLOOKUP($A45,Forecast!$B$12:M$110,9)</f>
        <v>419777</v>
      </c>
      <c r="J45" s="1265">
        <f>VLOOKUP($A45,Forecast!$B$12:N$110,10)</f>
        <v>423976</v>
      </c>
      <c r="K45" s="1266">
        <f>VLOOKUP($A45,Forecast!$B$12:O$110,11)</f>
        <v>428216</v>
      </c>
    </row>
    <row r="46" spans="1:248" s="1239" customFormat="1" ht="14.4">
      <c r="A46" s="1230">
        <v>4.5</v>
      </c>
      <c r="B46" s="18" t="s">
        <v>137</v>
      </c>
      <c r="C46" s="1256">
        <f>SUM(C31:C45)</f>
        <v>34442988</v>
      </c>
      <c r="D46" s="1257">
        <f>SUM(D31:D45)</f>
        <v>35390248</v>
      </c>
      <c r="E46" s="1258">
        <f>SUM(E31:E45)</f>
        <v>36152637</v>
      </c>
      <c r="F46" s="1259">
        <f t="shared" si="0"/>
        <v>2.4522303298084698E-2</v>
      </c>
      <c r="G46" s="1260">
        <f>SUM(G31:G45)</f>
        <v>33937065</v>
      </c>
      <c r="H46" s="1267">
        <f>SUM(H31:H45)</f>
        <v>35204672</v>
      </c>
      <c r="I46" s="1267">
        <f>SUM(I31:I45)</f>
        <v>36296441</v>
      </c>
      <c r="J46" s="1267">
        <f>SUM(J31:J45)</f>
        <v>36994864</v>
      </c>
      <c r="K46" s="1268">
        <f>SUM(K31:K45)</f>
        <v>37794095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  <c r="GF46" s="38"/>
      <c r="GG46" s="38"/>
      <c r="GH46" s="38"/>
      <c r="GI46" s="38"/>
      <c r="GJ46" s="38"/>
      <c r="GK46" s="38"/>
      <c r="GL46" s="38"/>
      <c r="GM46" s="38"/>
      <c r="GN46" s="38"/>
      <c r="GO46" s="38"/>
      <c r="GP46" s="38"/>
      <c r="GQ46" s="38"/>
      <c r="GR46" s="38"/>
      <c r="GS46" s="38"/>
      <c r="GT46" s="38"/>
      <c r="GU46" s="38"/>
      <c r="GV46" s="38"/>
      <c r="GW46" s="38"/>
      <c r="GX46" s="38"/>
      <c r="GY46" s="38"/>
      <c r="GZ46" s="38"/>
      <c r="HA46" s="38"/>
      <c r="HB46" s="38"/>
      <c r="HC46" s="38"/>
      <c r="HD46" s="38"/>
      <c r="HE46" s="38"/>
      <c r="HF46" s="38"/>
      <c r="HG46" s="38"/>
      <c r="HH46" s="38"/>
      <c r="HI46" s="38"/>
      <c r="HJ46" s="38"/>
      <c r="HK46" s="38"/>
      <c r="HL46" s="38"/>
      <c r="HM46" s="38"/>
      <c r="HN46" s="38"/>
      <c r="HO46" s="38"/>
      <c r="HP46" s="38"/>
      <c r="HQ46" s="38"/>
      <c r="HR46" s="38"/>
      <c r="HS46" s="38"/>
      <c r="HT46" s="38"/>
      <c r="HU46" s="38"/>
      <c r="HV46" s="38"/>
      <c r="HW46" s="38"/>
      <c r="HX46" s="38"/>
      <c r="HY46" s="38"/>
      <c r="HZ46" s="38"/>
      <c r="IA46" s="38"/>
      <c r="IB46" s="38"/>
      <c r="IC46" s="38"/>
      <c r="ID46" s="38"/>
      <c r="IE46" s="38"/>
      <c r="IF46" s="38"/>
      <c r="IG46" s="38"/>
      <c r="IH46" s="38"/>
      <c r="II46" s="38"/>
      <c r="IJ46" s="38"/>
      <c r="IK46" s="38"/>
      <c r="IL46" s="38"/>
      <c r="IM46" s="38"/>
      <c r="IN46" s="38"/>
    </row>
    <row r="47" spans="1:248" ht="9" customHeight="1">
      <c r="A47" s="1204"/>
      <c r="C47" s="1240"/>
      <c r="D47" s="1241"/>
      <c r="E47" s="1242"/>
      <c r="F47" s="1209"/>
      <c r="G47" s="1243"/>
      <c r="H47" s="1263"/>
      <c r="I47" s="1263"/>
      <c r="J47" s="1263"/>
      <c r="K47" s="1264"/>
    </row>
    <row r="48" spans="1:248">
      <c r="A48" s="1204"/>
      <c r="B48" s="1205" t="s">
        <v>138</v>
      </c>
      <c r="C48" s="1240"/>
      <c r="D48" s="1241"/>
      <c r="E48" s="1242"/>
      <c r="F48" s="1209"/>
      <c r="G48" s="1243"/>
      <c r="H48" s="1244"/>
      <c r="I48" s="1244"/>
      <c r="J48" s="1244"/>
      <c r="K48" s="1245"/>
    </row>
    <row r="49" spans="1:248">
      <c r="A49" s="1204">
        <v>5.01</v>
      </c>
      <c r="B49" s="1213" t="s">
        <v>139</v>
      </c>
      <c r="C49" s="1214">
        <f>VLOOKUP($A49,Forecast!$B$12:L$110,3)</f>
        <v>35000</v>
      </c>
      <c r="D49" s="1215">
        <f>VLOOKUP($A49,Forecast!$B$12:M$110,4)</f>
        <v>35000</v>
      </c>
      <c r="E49" s="1216">
        <f>VLOOKUP($A49,Forecast!$B$12:M$110,5)</f>
        <v>35000</v>
      </c>
      <c r="F49" s="1217">
        <f t="shared" ref="F49:F51" si="1">IF(IF(OR(C49=0,D49=0),0,AVERAGE((D49-C49)/C49,(E49-D49)/D49))&gt;999.99,999.99,IF(OR(C49=0,D49=0),0,AVERAGE((D49-C49)/C49,(E49-D49)/D49)))</f>
        <v>0</v>
      </c>
      <c r="G49" s="1218">
        <f>VLOOKUP($A49,Forecast!$B$12:M$110,7)</f>
        <v>35000</v>
      </c>
      <c r="H49" s="1219">
        <f>VLOOKUP($A49,Forecast!$B$12:M$110,8)</f>
        <v>35000</v>
      </c>
      <c r="I49" s="1219">
        <f>VLOOKUP($A49,Forecast!$B$12:M$110,9)</f>
        <v>35000</v>
      </c>
      <c r="J49" s="1219">
        <f>VLOOKUP($A49,Forecast!$B$12:N$110,10)</f>
        <v>35000</v>
      </c>
      <c r="K49" s="1220">
        <f>VLOOKUP($A49,Forecast!$B$12:O$110,11)</f>
        <v>35000</v>
      </c>
      <c r="L49" s="1221"/>
      <c r="M49" s="1221"/>
      <c r="N49" s="1221"/>
      <c r="O49" s="1221"/>
      <c r="P49" s="1221"/>
      <c r="Q49" s="1221"/>
      <c r="R49" s="1221"/>
      <c r="S49" s="1221"/>
      <c r="T49" s="1221"/>
      <c r="U49" s="1221"/>
      <c r="V49" s="1221"/>
      <c r="W49" s="1221"/>
      <c r="X49" s="1221"/>
      <c r="Y49" s="1221"/>
      <c r="Z49" s="1221"/>
      <c r="AA49" s="1221"/>
      <c r="AB49" s="1221"/>
      <c r="AC49" s="1221"/>
      <c r="AD49" s="1221"/>
      <c r="AE49" s="1221"/>
      <c r="AF49" s="1221"/>
      <c r="AG49" s="1221"/>
      <c r="AH49" s="1221"/>
      <c r="AI49" s="1221"/>
      <c r="AJ49" s="1221"/>
      <c r="AK49" s="1221"/>
      <c r="AL49" s="1221"/>
      <c r="AM49" s="1221"/>
      <c r="AN49" s="1221"/>
      <c r="AO49" s="1221"/>
      <c r="AP49" s="1221"/>
      <c r="AQ49" s="1221"/>
      <c r="AR49" s="1221"/>
      <c r="AS49" s="1221"/>
      <c r="AT49" s="1221"/>
      <c r="AU49" s="1221"/>
      <c r="AV49" s="1221"/>
      <c r="AW49" s="1221"/>
      <c r="AX49" s="1221"/>
      <c r="AY49" s="1221"/>
      <c r="AZ49" s="1221"/>
      <c r="BA49" s="1221"/>
      <c r="BB49" s="1221"/>
      <c r="BC49" s="1221"/>
      <c r="BD49" s="1221"/>
      <c r="BE49" s="1221"/>
      <c r="BF49" s="1221"/>
      <c r="BG49" s="1221"/>
      <c r="BH49" s="1221"/>
      <c r="BI49" s="1221"/>
      <c r="BJ49" s="1221"/>
      <c r="BK49" s="1221"/>
      <c r="BL49" s="1221"/>
      <c r="BM49" s="1221"/>
      <c r="BN49" s="1221"/>
      <c r="BO49" s="1221"/>
      <c r="BP49" s="1221"/>
      <c r="BQ49" s="1221"/>
      <c r="BR49" s="1221"/>
      <c r="BS49" s="1221"/>
      <c r="BT49" s="1221"/>
      <c r="BU49" s="1221"/>
      <c r="BV49" s="1221"/>
      <c r="BW49" s="1221"/>
      <c r="BX49" s="1221"/>
      <c r="BY49" s="1221"/>
      <c r="BZ49" s="1221"/>
      <c r="CA49" s="1221"/>
      <c r="CB49" s="1221"/>
      <c r="CC49" s="1221"/>
      <c r="CD49" s="1221"/>
      <c r="CE49" s="1221"/>
      <c r="CF49" s="1221"/>
      <c r="CG49" s="1221"/>
      <c r="CH49" s="1221"/>
      <c r="CI49" s="1221"/>
      <c r="CJ49" s="1221"/>
      <c r="CK49" s="1221"/>
      <c r="CL49" s="1221"/>
      <c r="CM49" s="1221"/>
      <c r="CN49" s="1221"/>
      <c r="CO49" s="1221"/>
      <c r="CP49" s="1221"/>
      <c r="CQ49" s="1221"/>
      <c r="CR49" s="1221"/>
      <c r="CS49" s="1221"/>
      <c r="CT49" s="1221"/>
      <c r="CU49" s="1221"/>
      <c r="CV49" s="1221"/>
      <c r="CW49" s="1221"/>
      <c r="CX49" s="1221"/>
      <c r="CY49" s="1221"/>
      <c r="CZ49" s="1221"/>
      <c r="DA49" s="1221"/>
      <c r="DB49" s="1221"/>
      <c r="DC49" s="1221"/>
      <c r="DD49" s="1221"/>
      <c r="DE49" s="1221"/>
      <c r="DF49" s="1221"/>
      <c r="DG49" s="1221"/>
      <c r="DH49" s="1221"/>
      <c r="DI49" s="1221"/>
      <c r="DJ49" s="1221"/>
      <c r="DK49" s="1221"/>
      <c r="DL49" s="1221"/>
      <c r="DM49" s="1221"/>
      <c r="DN49" s="1221"/>
      <c r="DO49" s="1221"/>
      <c r="DP49" s="1221"/>
      <c r="DQ49" s="1221"/>
      <c r="DR49" s="1221"/>
      <c r="DS49" s="1221"/>
      <c r="DT49" s="1221"/>
      <c r="DU49" s="1221"/>
      <c r="DV49" s="1221"/>
      <c r="DW49" s="1221"/>
      <c r="DX49" s="1221"/>
      <c r="DY49" s="1221"/>
      <c r="DZ49" s="1221"/>
      <c r="EA49" s="1221"/>
      <c r="EB49" s="1221"/>
      <c r="EC49" s="1221"/>
      <c r="ED49" s="1221"/>
      <c r="EE49" s="1221"/>
      <c r="EF49" s="1221"/>
      <c r="EG49" s="1221"/>
      <c r="EH49" s="1221"/>
      <c r="EI49" s="1221"/>
      <c r="EJ49" s="1221"/>
      <c r="EK49" s="1221"/>
      <c r="EL49" s="1221"/>
      <c r="EM49" s="1221"/>
      <c r="EN49" s="1221"/>
      <c r="EO49" s="1221"/>
      <c r="EP49" s="1221"/>
      <c r="EQ49" s="1221"/>
      <c r="ER49" s="1221"/>
      <c r="ES49" s="1221"/>
      <c r="ET49" s="1221"/>
      <c r="EU49" s="1221"/>
      <c r="EV49" s="1221"/>
      <c r="EW49" s="1221"/>
      <c r="EX49" s="1221"/>
      <c r="EY49" s="1221"/>
      <c r="EZ49" s="1221"/>
      <c r="FA49" s="1221"/>
      <c r="FB49" s="1221"/>
      <c r="FC49" s="1221"/>
      <c r="FD49" s="1221"/>
      <c r="FE49" s="1221"/>
      <c r="FF49" s="1221"/>
      <c r="FG49" s="1221"/>
      <c r="FH49" s="1221"/>
      <c r="FI49" s="1221"/>
      <c r="FJ49" s="1221"/>
      <c r="FK49" s="1221"/>
      <c r="FL49" s="1221"/>
      <c r="FM49" s="1221"/>
      <c r="FN49" s="1221"/>
      <c r="FO49" s="1221"/>
      <c r="FP49" s="1221"/>
      <c r="FQ49" s="1221"/>
      <c r="FR49" s="1221"/>
      <c r="FS49" s="1221"/>
      <c r="FT49" s="1221"/>
      <c r="FU49" s="1221"/>
      <c r="FV49" s="1221"/>
      <c r="FW49" s="1221"/>
      <c r="FX49" s="1221"/>
      <c r="FY49" s="1221"/>
      <c r="FZ49" s="1221"/>
      <c r="GA49" s="1221"/>
      <c r="GB49" s="1221"/>
      <c r="GC49" s="1221"/>
      <c r="GD49" s="1221"/>
      <c r="GE49" s="1221"/>
      <c r="GF49" s="1221"/>
      <c r="GG49" s="1221"/>
      <c r="GH49" s="1221"/>
      <c r="GI49" s="1221"/>
      <c r="GJ49" s="1221"/>
      <c r="GK49" s="1221"/>
      <c r="GL49" s="1221"/>
      <c r="GM49" s="1221"/>
      <c r="GN49" s="1221"/>
      <c r="GO49" s="1221"/>
      <c r="GP49" s="1221"/>
      <c r="GQ49" s="1221"/>
      <c r="GR49" s="1221"/>
      <c r="GS49" s="1221"/>
      <c r="GT49" s="1221"/>
      <c r="GU49" s="1221"/>
      <c r="GV49" s="1221"/>
      <c r="GW49" s="1221"/>
      <c r="GX49" s="1221"/>
      <c r="GY49" s="1221"/>
      <c r="GZ49" s="1221"/>
      <c r="HA49" s="1221"/>
      <c r="HB49" s="1221"/>
      <c r="HC49" s="1221"/>
      <c r="HD49" s="1221"/>
      <c r="HE49" s="1221"/>
      <c r="HF49" s="1221"/>
      <c r="HG49" s="1221"/>
      <c r="HH49" s="1221"/>
      <c r="HI49" s="1221"/>
      <c r="HJ49" s="1221"/>
      <c r="HK49" s="1221"/>
      <c r="HL49" s="1221"/>
      <c r="HM49" s="1221"/>
      <c r="HN49" s="1221"/>
      <c r="HO49" s="1221"/>
      <c r="HP49" s="1221"/>
      <c r="HQ49" s="1221"/>
      <c r="HR49" s="1221"/>
      <c r="HS49" s="1221"/>
      <c r="HT49" s="1221"/>
      <c r="HU49" s="1221"/>
      <c r="HV49" s="1221"/>
      <c r="HW49" s="1221"/>
      <c r="HX49" s="1221"/>
      <c r="HY49" s="1221"/>
      <c r="HZ49" s="1221"/>
      <c r="IA49" s="1221"/>
      <c r="IB49" s="1221"/>
      <c r="IC49" s="1221"/>
      <c r="ID49" s="1221"/>
      <c r="IE49" s="1221"/>
      <c r="IF49" s="1221"/>
      <c r="IG49" s="1221"/>
      <c r="IH49" s="1221"/>
      <c r="II49" s="1221"/>
      <c r="IJ49" s="1221"/>
      <c r="IK49" s="1221"/>
      <c r="IL49" s="1221"/>
      <c r="IM49" s="1221"/>
      <c r="IN49" s="1221"/>
    </row>
    <row r="50" spans="1:248">
      <c r="A50" s="1204">
        <v>5.0199999999999996</v>
      </c>
      <c r="B50" s="1174" t="s">
        <v>140</v>
      </c>
      <c r="C50" s="1214">
        <f>VLOOKUP($A50,Forecast!$B$12:L$110,3)</f>
        <v>3284</v>
      </c>
      <c r="D50" s="1215">
        <f>VLOOKUP($A50,Forecast!$B$12:M$110,4)</f>
        <v>0</v>
      </c>
      <c r="E50" s="1216">
        <f>VLOOKUP($A50,Forecast!$B$12:M$110,5)</f>
        <v>102915</v>
      </c>
      <c r="F50" s="1217">
        <f t="shared" si="1"/>
        <v>0</v>
      </c>
      <c r="G50" s="1218">
        <f>VLOOKUP($A50,Forecast!$B$12:M$110,7)</f>
        <v>0</v>
      </c>
      <c r="H50" s="1219">
        <f>VLOOKUP($A50,Forecast!$B$12:M$110,8)</f>
        <v>0</v>
      </c>
      <c r="I50" s="1219">
        <f>VLOOKUP($A50,Forecast!$B$12:M$110,9)</f>
        <v>0</v>
      </c>
      <c r="J50" s="1219">
        <f>VLOOKUP($A50,Forecast!$B$12:N$110,10)</f>
        <v>0</v>
      </c>
      <c r="K50" s="1220">
        <f>VLOOKUP($A50,Forecast!$B$12:O$110,11)</f>
        <v>0</v>
      </c>
    </row>
    <row r="51" spans="1:248">
      <c r="A51" s="1204">
        <v>5.03</v>
      </c>
      <c r="B51" s="1174" t="s">
        <v>215</v>
      </c>
      <c r="C51" s="1223">
        <f>VLOOKUP($A51,Forecast!$B$12:L$110,3)</f>
        <v>0</v>
      </c>
      <c r="D51" s="1224">
        <f>VLOOKUP($A51,Forecast!$B$12:M$110,4)</f>
        <v>0</v>
      </c>
      <c r="E51" s="1225">
        <f>VLOOKUP($A51,Forecast!$B$12:M$110,5)</f>
        <v>0</v>
      </c>
      <c r="F51" s="1226">
        <f t="shared" si="1"/>
        <v>0</v>
      </c>
      <c r="G51" s="1227">
        <f>VLOOKUP($A51,Forecast!$B$12:M$110,7)</f>
        <v>0</v>
      </c>
      <c r="H51" s="1228">
        <f>VLOOKUP($A51,Forecast!$B$12:M$110,8)</f>
        <v>0</v>
      </c>
      <c r="I51" s="1228">
        <f>VLOOKUP($A51,Forecast!$B$12:M$110,9)</f>
        <v>0</v>
      </c>
      <c r="J51" s="1228">
        <f>VLOOKUP($A51,Forecast!$B$12:N$110,10)</f>
        <v>0</v>
      </c>
      <c r="K51" s="1229">
        <f>VLOOKUP($A51,Forecast!$B$12:O$110,11)</f>
        <v>0</v>
      </c>
    </row>
    <row r="52" spans="1:248">
      <c r="A52" s="1204">
        <v>5.04</v>
      </c>
      <c r="B52" s="1249" t="s">
        <v>216</v>
      </c>
      <c r="C52" s="1269">
        <f>SUM(C49:C51)</f>
        <v>38284</v>
      </c>
      <c r="D52" s="1270">
        <f>SUM(D49:D51)</f>
        <v>35000</v>
      </c>
      <c r="E52" s="1271">
        <f>SUM(E49:E51)</f>
        <v>137915</v>
      </c>
      <c r="F52" s="1235">
        <f t="shared" si="0"/>
        <v>1.4273243055659208</v>
      </c>
      <c r="G52" s="1272">
        <f>SUM(G49:G51)</f>
        <v>35000</v>
      </c>
      <c r="H52" s="1273">
        <f>SUM(H49:H51)</f>
        <v>35000</v>
      </c>
      <c r="I52" s="1273">
        <f>SUM(I49:I51)</f>
        <v>35000</v>
      </c>
      <c r="J52" s="1273">
        <f>SUM(J49:J51)</f>
        <v>35000</v>
      </c>
      <c r="K52" s="1274">
        <f>SUM(K49:K51)</f>
        <v>35000</v>
      </c>
    </row>
    <row r="53" spans="1:248" s="1239" customFormat="1" ht="14.4">
      <c r="A53" s="1230">
        <v>5.05</v>
      </c>
      <c r="B53" s="1231" t="s">
        <v>217</v>
      </c>
      <c r="C53" s="1256">
        <f>C46+C52</f>
        <v>34481272</v>
      </c>
      <c r="D53" s="1257">
        <f>D46+D52</f>
        <v>35425248</v>
      </c>
      <c r="E53" s="1258">
        <f>E46+E52</f>
        <v>36290552</v>
      </c>
      <c r="F53" s="1259">
        <f t="shared" si="0"/>
        <v>2.5901339407716887E-2</v>
      </c>
      <c r="G53" s="1260">
        <f>G46+G52</f>
        <v>33972065</v>
      </c>
      <c r="H53" s="1275">
        <f>H46+H52</f>
        <v>35239672</v>
      </c>
      <c r="I53" s="1275">
        <f>I46+I52</f>
        <v>36331441</v>
      </c>
      <c r="J53" s="1275">
        <f>J46+J52</f>
        <v>37029864</v>
      </c>
      <c r="K53" s="1276">
        <f>K46+K52</f>
        <v>37829095</v>
      </c>
    </row>
    <row r="54" spans="1:248" ht="9" customHeight="1">
      <c r="A54" s="1204"/>
      <c r="C54" s="1240"/>
      <c r="D54" s="1241"/>
      <c r="E54" s="1242"/>
      <c r="F54" s="1209"/>
      <c r="G54" s="1243"/>
      <c r="H54" s="1244"/>
      <c r="I54" s="1244"/>
      <c r="J54" s="1244"/>
      <c r="K54" s="1245"/>
    </row>
    <row r="55" spans="1:248" s="1239" customFormat="1" ht="30" customHeight="1" thickBot="1">
      <c r="A55" s="1277">
        <v>6.01</v>
      </c>
      <c r="B55" s="1278" t="s">
        <v>141</v>
      </c>
      <c r="C55" s="1279">
        <f>C28-C53</f>
        <v>645365</v>
      </c>
      <c r="D55" s="1280">
        <f>D28-D53</f>
        <v>-500847</v>
      </c>
      <c r="E55" s="1281">
        <f>E28-E53</f>
        <v>3050</v>
      </c>
      <c r="F55" s="1282">
        <f t="shared" si="0"/>
        <v>-1.391078745332623</v>
      </c>
      <c r="G55" s="1283">
        <f>G28-G53</f>
        <v>-1114385</v>
      </c>
      <c r="H55" s="1284">
        <f>H28-H53</f>
        <v>-2113900</v>
      </c>
      <c r="I55" s="1284">
        <f>I28-I53</f>
        <v>-4016450</v>
      </c>
      <c r="J55" s="1284">
        <f>J28-J53</f>
        <v>-4785714</v>
      </c>
      <c r="K55" s="1285">
        <f>K28-K53</f>
        <v>-5452453</v>
      </c>
    </row>
    <row r="56" spans="1:248" ht="8.25" customHeight="1">
      <c r="A56" s="1204"/>
      <c r="B56" s="1249"/>
      <c r="C56" s="1240"/>
      <c r="D56" s="1241"/>
      <c r="E56" s="1242"/>
      <c r="F56" s="1209"/>
      <c r="G56" s="1243"/>
      <c r="H56" s="1244"/>
      <c r="I56" s="1244"/>
      <c r="J56" s="1244"/>
      <c r="K56" s="1245"/>
    </row>
    <row r="57" spans="1:248" s="1239" customFormat="1" ht="27.6">
      <c r="A57" s="1277">
        <v>7.01</v>
      </c>
      <c r="B57" s="1286" t="s">
        <v>142</v>
      </c>
      <c r="C57" s="1287">
        <f>VLOOKUP($A57,Forecast!$B$12:L$110,3)</f>
        <v>6384783</v>
      </c>
      <c r="D57" s="1288">
        <f>C59</f>
        <v>7030148</v>
      </c>
      <c r="E57" s="1289">
        <f>D59</f>
        <v>6529301</v>
      </c>
      <c r="F57" s="1290">
        <f t="shared" si="0"/>
        <v>1.4917936156779291E-2</v>
      </c>
      <c r="G57" s="1291">
        <f>E59</f>
        <v>6532351</v>
      </c>
      <c r="H57" s="1292">
        <f>G59</f>
        <v>5417966</v>
      </c>
      <c r="I57" s="1292">
        <f>H59</f>
        <v>3304066</v>
      </c>
      <c r="J57" s="1292">
        <f>I59</f>
        <v>-712384</v>
      </c>
      <c r="K57" s="1293">
        <f>J59</f>
        <v>-5498098</v>
      </c>
    </row>
    <row r="58" spans="1:248">
      <c r="A58" s="1204"/>
      <c r="C58" s="1240"/>
      <c r="D58" s="1241"/>
      <c r="E58" s="1242"/>
      <c r="F58" s="1209">
        <f t="shared" si="0"/>
        <v>0</v>
      </c>
      <c r="G58" s="1243"/>
      <c r="H58" s="1244"/>
      <c r="I58" s="1244"/>
      <c r="J58" s="1244"/>
      <c r="K58" s="1245"/>
    </row>
    <row r="59" spans="1:248" s="1239" customFormat="1" ht="14.4">
      <c r="A59" s="1230">
        <v>7.02</v>
      </c>
      <c r="B59" s="22" t="s">
        <v>143</v>
      </c>
      <c r="C59" s="1232">
        <f>C55+C57</f>
        <v>7030148</v>
      </c>
      <c r="D59" s="1233">
        <f>D55+D57</f>
        <v>6529301</v>
      </c>
      <c r="E59" s="1234">
        <f>E55+E57</f>
        <v>6532351</v>
      </c>
      <c r="F59" s="1294">
        <f t="shared" si="0"/>
        <v>-3.5387807043634444E-2</v>
      </c>
      <c r="G59" s="1236">
        <f>G55+G57</f>
        <v>5417966</v>
      </c>
      <c r="H59" s="1237">
        <f>H55+H57</f>
        <v>3304066</v>
      </c>
      <c r="I59" s="1237">
        <f>I55+I57</f>
        <v>-712384</v>
      </c>
      <c r="J59" s="1237">
        <f>J55+J57</f>
        <v>-5498098</v>
      </c>
      <c r="K59" s="1238">
        <f>K55+K57</f>
        <v>-10950551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</row>
    <row r="60" spans="1:248">
      <c r="A60" s="1204"/>
      <c r="B60" s="1295"/>
      <c r="C60" s="1214"/>
      <c r="D60" s="1215"/>
      <c r="E60" s="1216"/>
      <c r="F60" s="1217"/>
      <c r="G60" s="1218"/>
      <c r="H60" s="1219"/>
      <c r="I60" s="1219"/>
      <c r="J60" s="1219"/>
      <c r="K60" s="1220"/>
      <c r="L60" s="1296"/>
      <c r="M60" s="1296"/>
      <c r="N60" s="1296"/>
      <c r="O60" s="1296"/>
      <c r="P60" s="1296"/>
      <c r="Q60" s="1296"/>
      <c r="R60" s="1296"/>
      <c r="S60" s="1296"/>
      <c r="T60" s="1296"/>
      <c r="U60" s="1296"/>
      <c r="V60" s="1296"/>
      <c r="W60" s="1296"/>
      <c r="X60" s="1296"/>
      <c r="Y60" s="1296"/>
      <c r="Z60" s="1296"/>
      <c r="AA60" s="1296"/>
      <c r="AB60" s="1296"/>
      <c r="AC60" s="1296"/>
      <c r="AD60" s="1296"/>
      <c r="AE60" s="1296"/>
      <c r="AF60" s="1296"/>
      <c r="AG60" s="1296"/>
      <c r="AH60" s="1296"/>
      <c r="AI60" s="1296"/>
      <c r="AJ60" s="1296"/>
      <c r="AK60" s="1296"/>
      <c r="AL60" s="1296"/>
      <c r="AM60" s="1296"/>
      <c r="AN60" s="1296"/>
      <c r="AO60" s="1296"/>
      <c r="AP60" s="1296"/>
      <c r="AQ60" s="1296"/>
      <c r="AR60" s="1296"/>
      <c r="AS60" s="1296"/>
      <c r="AT60" s="1296"/>
      <c r="AU60" s="1296"/>
      <c r="AV60" s="1296"/>
      <c r="AW60" s="1296"/>
      <c r="AX60" s="1296"/>
      <c r="AY60" s="1296"/>
      <c r="AZ60" s="1296"/>
      <c r="BA60" s="1296"/>
      <c r="BB60" s="1296"/>
      <c r="BC60" s="1296"/>
      <c r="BD60" s="1296"/>
      <c r="BE60" s="1296"/>
      <c r="BF60" s="1296"/>
      <c r="BG60" s="1296"/>
      <c r="BH60" s="1296"/>
      <c r="BI60" s="1296"/>
      <c r="BJ60" s="1296"/>
      <c r="BK60" s="1296"/>
      <c r="BL60" s="1296"/>
      <c r="BM60" s="1296"/>
      <c r="BN60" s="1296"/>
      <c r="BO60" s="1296"/>
      <c r="BP60" s="1296"/>
      <c r="BQ60" s="1296"/>
      <c r="BR60" s="1296"/>
      <c r="BS60" s="1296"/>
      <c r="BT60" s="1296"/>
      <c r="BU60" s="1296"/>
      <c r="BV60" s="1296"/>
      <c r="BW60" s="1296"/>
      <c r="BX60" s="1296"/>
      <c r="BY60" s="1296"/>
      <c r="BZ60" s="1296"/>
      <c r="CA60" s="1296"/>
      <c r="CB60" s="1296"/>
      <c r="CC60" s="1296"/>
      <c r="CD60" s="1296"/>
      <c r="CE60" s="1296"/>
      <c r="CF60" s="1296"/>
      <c r="CG60" s="1296"/>
      <c r="CH60" s="1296"/>
      <c r="CI60" s="1296"/>
      <c r="CJ60" s="1296"/>
      <c r="CK60" s="1296"/>
      <c r="CL60" s="1296"/>
      <c r="CM60" s="1296"/>
      <c r="CN60" s="1296"/>
      <c r="CO60" s="1296"/>
      <c r="CP60" s="1296"/>
      <c r="CQ60" s="1296"/>
      <c r="CR60" s="1296"/>
      <c r="CS60" s="1296"/>
      <c r="CT60" s="1296"/>
      <c r="CU60" s="1296"/>
      <c r="CV60" s="1296"/>
      <c r="CW60" s="1296"/>
      <c r="CX60" s="1296"/>
      <c r="CY60" s="1296"/>
      <c r="CZ60" s="1296"/>
      <c r="DA60" s="1296"/>
      <c r="DB60" s="1296"/>
      <c r="DC60" s="1296"/>
      <c r="DD60" s="1296"/>
      <c r="DE60" s="1296"/>
      <c r="DF60" s="1296"/>
      <c r="DG60" s="1296"/>
      <c r="DH60" s="1296"/>
      <c r="DI60" s="1296"/>
      <c r="DJ60" s="1296"/>
      <c r="DK60" s="1296"/>
      <c r="DL60" s="1296"/>
      <c r="DM60" s="1296"/>
      <c r="DN60" s="1296"/>
      <c r="DO60" s="1296"/>
      <c r="DP60" s="1296"/>
      <c r="DQ60" s="1296"/>
      <c r="DR60" s="1296"/>
      <c r="DS60" s="1296"/>
      <c r="DT60" s="1296"/>
      <c r="DU60" s="1296"/>
      <c r="DV60" s="1296"/>
      <c r="DW60" s="1296"/>
      <c r="DX60" s="1296"/>
      <c r="DY60" s="1296"/>
      <c r="DZ60" s="1296"/>
      <c r="EA60" s="1296"/>
      <c r="EB60" s="1296"/>
      <c r="EC60" s="1296"/>
      <c r="ED60" s="1296"/>
      <c r="EE60" s="1296"/>
      <c r="EF60" s="1296"/>
      <c r="EG60" s="1296"/>
      <c r="EH60" s="1296"/>
      <c r="EI60" s="1296"/>
      <c r="EJ60" s="1296"/>
      <c r="EK60" s="1296"/>
      <c r="EL60" s="1296"/>
      <c r="EM60" s="1296"/>
      <c r="EN60" s="1296"/>
      <c r="EO60" s="1296"/>
      <c r="EP60" s="1296"/>
      <c r="EQ60" s="1296"/>
      <c r="ER60" s="1296"/>
      <c r="ES60" s="1296"/>
      <c r="ET60" s="1296"/>
      <c r="EU60" s="1296"/>
      <c r="EV60" s="1296"/>
      <c r="EW60" s="1296"/>
      <c r="EX60" s="1296"/>
      <c r="EY60" s="1296"/>
      <c r="EZ60" s="1296"/>
      <c r="FA60" s="1296"/>
      <c r="FB60" s="1296"/>
      <c r="FC60" s="1296"/>
      <c r="FD60" s="1296"/>
      <c r="FE60" s="1296"/>
      <c r="FF60" s="1296"/>
      <c r="FG60" s="1296"/>
      <c r="FH60" s="1296"/>
      <c r="FI60" s="1296"/>
      <c r="FJ60" s="1296"/>
      <c r="FK60" s="1296"/>
      <c r="FL60" s="1296"/>
      <c r="FM60" s="1296"/>
      <c r="FN60" s="1296"/>
      <c r="FO60" s="1296"/>
      <c r="FP60" s="1296"/>
      <c r="FQ60" s="1296"/>
      <c r="FR60" s="1296"/>
      <c r="FS60" s="1296"/>
      <c r="FT60" s="1296"/>
      <c r="FU60" s="1296"/>
      <c r="FV60" s="1296"/>
      <c r="FW60" s="1296"/>
      <c r="FX60" s="1296"/>
      <c r="FY60" s="1296"/>
      <c r="FZ60" s="1296"/>
      <c r="GA60" s="1296"/>
      <c r="GB60" s="1296"/>
      <c r="GC60" s="1296"/>
      <c r="GD60" s="1296"/>
      <c r="GE60" s="1296"/>
      <c r="GF60" s="1296"/>
      <c r="GG60" s="1296"/>
      <c r="GH60" s="1296"/>
      <c r="GI60" s="1296"/>
      <c r="GJ60" s="1296"/>
      <c r="GK60" s="1296"/>
      <c r="GL60" s="1296"/>
      <c r="GM60" s="1296"/>
      <c r="GN60" s="1296"/>
      <c r="GO60" s="1296"/>
      <c r="GP60" s="1296"/>
      <c r="GQ60" s="1296"/>
      <c r="GR60" s="1296"/>
      <c r="GS60" s="1296"/>
      <c r="GT60" s="1296"/>
      <c r="GU60" s="1296"/>
      <c r="GV60" s="1296"/>
      <c r="GW60" s="1296"/>
      <c r="GX60" s="1296"/>
      <c r="GY60" s="1296"/>
      <c r="GZ60" s="1296"/>
      <c r="HA60" s="1296"/>
      <c r="HB60" s="1296"/>
      <c r="HC60" s="1296"/>
      <c r="HD60" s="1296"/>
      <c r="HE60" s="1296"/>
      <c r="HF60" s="1296"/>
      <c r="HG60" s="1296"/>
      <c r="HH60" s="1296"/>
      <c r="HI60" s="1296"/>
      <c r="HJ60" s="1296"/>
      <c r="HK60" s="1296"/>
      <c r="HL60" s="1296"/>
      <c r="HM60" s="1296"/>
      <c r="HN60" s="1296"/>
      <c r="HO60" s="1296"/>
      <c r="HP60" s="1296"/>
      <c r="HQ60" s="1296"/>
      <c r="HR60" s="1296"/>
      <c r="HS60" s="1296"/>
      <c r="HT60" s="1296"/>
      <c r="HU60" s="1296"/>
      <c r="HV60" s="1296"/>
      <c r="HW60" s="1296"/>
      <c r="HX60" s="1296"/>
      <c r="HY60" s="1296"/>
      <c r="HZ60" s="1296"/>
      <c r="IA60" s="1296"/>
      <c r="IB60" s="1296"/>
      <c r="IC60" s="1296"/>
      <c r="ID60" s="1296"/>
      <c r="IE60" s="1296"/>
      <c r="IF60" s="1296"/>
      <c r="IG60" s="1296"/>
      <c r="IH60" s="1296"/>
      <c r="II60" s="1296"/>
      <c r="IJ60" s="1296"/>
      <c r="IK60" s="1296"/>
      <c r="IL60" s="1296"/>
      <c r="IM60" s="1296"/>
      <c r="IN60" s="1296"/>
    </row>
    <row r="61" spans="1:248" s="1239" customFormat="1" ht="14.4">
      <c r="A61" s="1230">
        <v>8.01</v>
      </c>
      <c r="B61" s="1231" t="s">
        <v>144</v>
      </c>
      <c r="C61" s="1297">
        <f>VLOOKUP($A61,Forecast!$B$12:L$110,3)</f>
        <v>0</v>
      </c>
      <c r="D61" s="1298">
        <f>VLOOKUP($A61,Forecast!$B$12:M$110,4)</f>
        <v>0</v>
      </c>
      <c r="E61" s="1299">
        <f>VLOOKUP($A61,Forecast!$B$12:M$110,5)</f>
        <v>0</v>
      </c>
      <c r="F61" s="1300">
        <f t="shared" si="0"/>
        <v>0</v>
      </c>
      <c r="G61" s="1301">
        <f>VLOOKUP($A61,Forecast!$B$12:M$110,7)</f>
        <v>0</v>
      </c>
      <c r="H61" s="1302">
        <f>VLOOKUP($A61,Forecast!$B$12:M$110,8)</f>
        <v>0</v>
      </c>
      <c r="I61" s="1302">
        <f>VLOOKUP($A61,Forecast!$B$12:M$110,9)</f>
        <v>0</v>
      </c>
      <c r="J61" s="1302">
        <f>VLOOKUP($A61,Forecast!$B$12:N$110,10)</f>
        <v>0</v>
      </c>
      <c r="K61" s="1303">
        <f>VLOOKUP($A61,Forecast!$B$12:O$110,11)</f>
        <v>0</v>
      </c>
    </row>
    <row r="62" spans="1:248" ht="7.5" customHeight="1">
      <c r="A62" s="1204"/>
      <c r="B62" s="1249"/>
      <c r="C62" s="1240"/>
      <c r="D62" s="1241"/>
      <c r="E62" s="1241"/>
      <c r="F62" s="1304"/>
      <c r="G62" s="1243"/>
      <c r="H62" s="1263"/>
      <c r="I62" s="1263"/>
      <c r="J62" s="1263"/>
      <c r="K62" s="1264"/>
    </row>
    <row r="63" spans="1:248">
      <c r="A63" s="1204"/>
      <c r="B63" s="1305" t="s">
        <v>145</v>
      </c>
      <c r="C63" s="1241"/>
      <c r="D63" s="1241"/>
      <c r="E63" s="1241"/>
      <c r="F63" s="1306"/>
      <c r="G63" s="1244"/>
      <c r="H63" s="1244"/>
      <c r="I63" s="1244"/>
      <c r="J63" s="1244"/>
      <c r="K63" s="1245"/>
      <c r="L63" s="1307"/>
      <c r="M63" s="1307"/>
      <c r="N63" s="1307"/>
      <c r="O63" s="1307"/>
      <c r="P63" s="1307"/>
      <c r="Q63" s="1307"/>
      <c r="R63" s="1307"/>
      <c r="S63" s="1307"/>
      <c r="T63" s="1307"/>
      <c r="U63" s="1307"/>
      <c r="V63" s="1307"/>
      <c r="W63" s="1307"/>
      <c r="X63" s="1307"/>
      <c r="Y63" s="1307"/>
      <c r="Z63" s="1307"/>
      <c r="AA63" s="1307"/>
      <c r="AB63" s="1307"/>
      <c r="AC63" s="1307"/>
      <c r="AD63" s="1307"/>
      <c r="AE63" s="1307"/>
      <c r="AF63" s="1307"/>
      <c r="AG63" s="1307"/>
      <c r="AH63" s="1307"/>
      <c r="AI63" s="1307"/>
      <c r="AJ63" s="1307"/>
      <c r="AK63" s="1307"/>
      <c r="AL63" s="1307"/>
      <c r="AM63" s="1307"/>
      <c r="AN63" s="1307"/>
      <c r="AO63" s="1307"/>
      <c r="AP63" s="1307"/>
      <c r="AQ63" s="1307"/>
      <c r="AR63" s="1307"/>
      <c r="AS63" s="1307"/>
      <c r="AT63" s="1307"/>
      <c r="AU63" s="1307"/>
      <c r="AV63" s="1307"/>
      <c r="AW63" s="1307"/>
      <c r="AX63" s="1307"/>
      <c r="AY63" s="1307"/>
      <c r="AZ63" s="1307"/>
      <c r="BA63" s="1307"/>
      <c r="BB63" s="1307"/>
      <c r="BC63" s="1307"/>
      <c r="BD63" s="1307"/>
      <c r="BE63" s="1307"/>
      <c r="BF63" s="1307"/>
      <c r="BG63" s="1307"/>
      <c r="BH63" s="1307"/>
      <c r="BI63" s="1307"/>
      <c r="BJ63" s="1307"/>
      <c r="BK63" s="1307"/>
      <c r="BL63" s="1307"/>
      <c r="BM63" s="1307"/>
      <c r="BN63" s="1307"/>
      <c r="BO63" s="1307"/>
      <c r="BP63" s="1307"/>
      <c r="BQ63" s="1307"/>
      <c r="BR63" s="1307"/>
      <c r="BS63" s="1307"/>
      <c r="BT63" s="1307"/>
      <c r="BU63" s="1307"/>
      <c r="BV63" s="1307"/>
      <c r="BW63" s="1307"/>
      <c r="BX63" s="1307"/>
      <c r="BY63" s="1307"/>
      <c r="BZ63" s="1307"/>
      <c r="CA63" s="1307"/>
      <c r="CB63" s="1307"/>
      <c r="CC63" s="1307"/>
      <c r="CD63" s="1307"/>
      <c r="CE63" s="1307"/>
      <c r="CF63" s="1307"/>
      <c r="CG63" s="1307"/>
      <c r="CH63" s="1307"/>
      <c r="CI63" s="1307"/>
      <c r="CJ63" s="1307"/>
      <c r="CK63" s="1307"/>
      <c r="CL63" s="1307"/>
      <c r="CM63" s="1307"/>
      <c r="CN63" s="1307"/>
      <c r="CO63" s="1307"/>
      <c r="CP63" s="1307"/>
      <c r="CQ63" s="1307"/>
      <c r="CR63" s="1307"/>
      <c r="CS63" s="1307"/>
      <c r="CT63" s="1307"/>
      <c r="CU63" s="1307"/>
      <c r="CV63" s="1307"/>
      <c r="CW63" s="1307"/>
      <c r="CX63" s="1307"/>
      <c r="CY63" s="1307"/>
      <c r="CZ63" s="1307"/>
      <c r="DA63" s="1307"/>
      <c r="DB63" s="1307"/>
      <c r="DC63" s="1307"/>
      <c r="DD63" s="1307"/>
      <c r="DE63" s="1307"/>
      <c r="DF63" s="1307"/>
      <c r="DG63" s="1307"/>
      <c r="DH63" s="1307"/>
      <c r="DI63" s="1307"/>
      <c r="DJ63" s="1307"/>
      <c r="DK63" s="1307"/>
      <c r="DL63" s="1307"/>
      <c r="DM63" s="1307"/>
      <c r="DN63" s="1307"/>
      <c r="DO63" s="1307"/>
      <c r="DP63" s="1307"/>
      <c r="DQ63" s="1307"/>
      <c r="DR63" s="1307"/>
      <c r="DS63" s="1307"/>
      <c r="DT63" s="1307"/>
      <c r="DU63" s="1307"/>
      <c r="DV63" s="1307"/>
      <c r="DW63" s="1307"/>
      <c r="DX63" s="1307"/>
      <c r="DY63" s="1307"/>
      <c r="DZ63" s="1307"/>
      <c r="EA63" s="1307"/>
      <c r="EB63" s="1307"/>
      <c r="EC63" s="1307"/>
      <c r="ED63" s="1307"/>
      <c r="EE63" s="1307"/>
      <c r="EF63" s="1307"/>
      <c r="EG63" s="1307"/>
      <c r="EH63" s="1307"/>
      <c r="EI63" s="1307"/>
      <c r="EJ63" s="1307"/>
      <c r="EK63" s="1307"/>
      <c r="EL63" s="1307"/>
      <c r="EM63" s="1307"/>
      <c r="EN63" s="1307"/>
      <c r="EO63" s="1307"/>
      <c r="EP63" s="1307"/>
      <c r="EQ63" s="1307"/>
      <c r="ER63" s="1307"/>
      <c r="ES63" s="1307"/>
      <c r="ET63" s="1307"/>
      <c r="EU63" s="1307"/>
      <c r="EV63" s="1307"/>
      <c r="EW63" s="1307"/>
      <c r="EX63" s="1307"/>
      <c r="EY63" s="1307"/>
      <c r="EZ63" s="1307"/>
      <c r="FA63" s="1307"/>
      <c r="FB63" s="1307"/>
      <c r="FC63" s="1307"/>
      <c r="FD63" s="1307"/>
      <c r="FE63" s="1307"/>
      <c r="FF63" s="1307"/>
      <c r="FG63" s="1307"/>
      <c r="FH63" s="1307"/>
      <c r="FI63" s="1307"/>
      <c r="FJ63" s="1307"/>
      <c r="FK63" s="1307"/>
      <c r="FL63" s="1307"/>
      <c r="FM63" s="1307"/>
      <c r="FN63" s="1307"/>
      <c r="FO63" s="1307"/>
      <c r="FP63" s="1307"/>
      <c r="FQ63" s="1307"/>
      <c r="FR63" s="1307"/>
      <c r="FS63" s="1307"/>
      <c r="FT63" s="1307"/>
      <c r="FU63" s="1307"/>
      <c r="FV63" s="1307"/>
      <c r="FW63" s="1307"/>
      <c r="FX63" s="1307"/>
      <c r="FY63" s="1307"/>
      <c r="FZ63" s="1307"/>
      <c r="GA63" s="1307"/>
      <c r="GB63" s="1307"/>
      <c r="GC63" s="1307"/>
      <c r="GD63" s="1307"/>
      <c r="GE63" s="1307"/>
      <c r="GF63" s="1307"/>
      <c r="GG63" s="1307"/>
      <c r="GH63" s="1307"/>
      <c r="GI63" s="1307"/>
      <c r="GJ63" s="1307"/>
      <c r="GK63" s="1307"/>
      <c r="GL63" s="1307"/>
      <c r="GM63" s="1307"/>
      <c r="GN63" s="1307"/>
      <c r="GO63" s="1307"/>
      <c r="GP63" s="1307"/>
      <c r="GQ63" s="1307"/>
      <c r="GR63" s="1307"/>
      <c r="GS63" s="1307"/>
      <c r="GT63" s="1307"/>
      <c r="GU63" s="1307"/>
      <c r="GV63" s="1307"/>
      <c r="GW63" s="1307"/>
      <c r="GX63" s="1307"/>
      <c r="GY63" s="1307"/>
      <c r="GZ63" s="1307"/>
      <c r="HA63" s="1307"/>
      <c r="HB63" s="1307"/>
      <c r="HC63" s="1307"/>
      <c r="HD63" s="1307"/>
      <c r="HE63" s="1307"/>
      <c r="HF63" s="1307"/>
      <c r="HG63" s="1307"/>
      <c r="HH63" s="1307"/>
      <c r="HI63" s="1307"/>
      <c r="HJ63" s="1307"/>
      <c r="HK63" s="1307"/>
      <c r="HL63" s="1307"/>
      <c r="HM63" s="1307"/>
      <c r="HN63" s="1307"/>
      <c r="HO63" s="1307"/>
      <c r="HP63" s="1307"/>
      <c r="HQ63" s="1307"/>
      <c r="HR63" s="1307"/>
      <c r="HS63" s="1307"/>
      <c r="HT63" s="1307"/>
      <c r="HU63" s="1307"/>
      <c r="HV63" s="1307"/>
      <c r="HW63" s="1307"/>
      <c r="HX63" s="1307"/>
      <c r="HY63" s="1307"/>
      <c r="HZ63" s="1307"/>
      <c r="IA63" s="1307"/>
      <c r="IB63" s="1307"/>
      <c r="IC63" s="1307"/>
      <c r="ID63" s="1307"/>
      <c r="IE63" s="1307"/>
      <c r="IF63" s="1307"/>
      <c r="IG63" s="1307"/>
      <c r="IH63" s="1307"/>
      <c r="II63" s="1307"/>
      <c r="IJ63" s="1307"/>
      <c r="IK63" s="1307"/>
      <c r="IL63" s="1307"/>
      <c r="IM63" s="1307"/>
      <c r="IN63" s="1307"/>
    </row>
    <row r="64" spans="1:248">
      <c r="A64" s="1204">
        <v>9.01</v>
      </c>
      <c r="B64" s="1308" t="s">
        <v>146</v>
      </c>
      <c r="C64" s="1223">
        <f>VLOOKUP($A64,Forecast!$B$12:L$110,3)</f>
        <v>0</v>
      </c>
      <c r="D64" s="1224">
        <f>VLOOKUP($A64,Forecast!$B$12:M$110,4)</f>
        <v>0</v>
      </c>
      <c r="E64" s="1225">
        <f>VLOOKUP($A64,Forecast!$B$12:M$110,5)</f>
        <v>0</v>
      </c>
      <c r="F64" s="1226">
        <f t="shared" si="0"/>
        <v>0</v>
      </c>
      <c r="G64" s="1227">
        <f>VLOOKUP($A64,Forecast!$B$12:M$110,7)</f>
        <v>0</v>
      </c>
      <c r="H64" s="1265">
        <f>VLOOKUP($A64,Forecast!$B$12:M$110,8)</f>
        <v>0</v>
      </c>
      <c r="I64" s="1265">
        <f>VLOOKUP($A64,Forecast!$B$12:M$110,9)</f>
        <v>0</v>
      </c>
      <c r="J64" s="1265">
        <f>VLOOKUP($A64,Forecast!$B$12:N$110,10)</f>
        <v>0</v>
      </c>
      <c r="K64" s="1266">
        <f>VLOOKUP($A64,Forecast!$B$12:O$110,11)</f>
        <v>0</v>
      </c>
    </row>
    <row r="65" spans="1:11">
      <c r="A65" s="1204">
        <v>9.02</v>
      </c>
      <c r="B65" s="1308" t="s">
        <v>147</v>
      </c>
      <c r="C65" s="1223">
        <f>VLOOKUP($A65,Forecast!$B$12:L$110,3)</f>
        <v>0</v>
      </c>
      <c r="D65" s="1224">
        <f>VLOOKUP($A65,Forecast!$B$12:M$110,4)</f>
        <v>0</v>
      </c>
      <c r="E65" s="1225">
        <f>VLOOKUP($A65,Forecast!$B$12:M$110,5)</f>
        <v>0</v>
      </c>
      <c r="F65" s="1226">
        <f t="shared" si="0"/>
        <v>0</v>
      </c>
      <c r="G65" s="1227">
        <f>VLOOKUP($A65,Forecast!$B$12:M$110,7)</f>
        <v>0</v>
      </c>
      <c r="H65" s="1265">
        <f>VLOOKUP($A65,Forecast!$B$12:M$110,8)</f>
        <v>0</v>
      </c>
      <c r="I65" s="1265">
        <f>VLOOKUP($A65,Forecast!$B$12:M$110,9)</f>
        <v>0</v>
      </c>
      <c r="J65" s="1265">
        <f>VLOOKUP($A65,Forecast!$B$12:N$110,10)</f>
        <v>0</v>
      </c>
      <c r="K65" s="1266">
        <f>VLOOKUP($A65,Forecast!$B$12:O$110,11)</f>
        <v>0</v>
      </c>
    </row>
    <row r="66" spans="1:11">
      <c r="A66" s="1204">
        <v>9.0299999999999994</v>
      </c>
      <c r="B66" s="1308" t="s">
        <v>148</v>
      </c>
      <c r="C66" s="1223">
        <f>VLOOKUP($A66,Forecast!$B$12:L$110,3)</f>
        <v>0</v>
      </c>
      <c r="D66" s="1224">
        <f>VLOOKUP($A66,Forecast!$B$12:M$110,4)</f>
        <v>0</v>
      </c>
      <c r="E66" s="1225">
        <f>VLOOKUP($A66,Forecast!$B$12:M$110,5)</f>
        <v>0</v>
      </c>
      <c r="F66" s="1226">
        <f t="shared" si="0"/>
        <v>0</v>
      </c>
      <c r="G66" s="1227">
        <f>VLOOKUP($A66,Forecast!$B$12:M$110,7)</f>
        <v>0</v>
      </c>
      <c r="H66" s="1265">
        <f>VLOOKUP($A66,Forecast!$B$12:M$110,8)</f>
        <v>0</v>
      </c>
      <c r="I66" s="1265">
        <f>VLOOKUP($A66,Forecast!$B$12:M$110,9)</f>
        <v>0</v>
      </c>
      <c r="J66" s="1265">
        <f>VLOOKUP($A66,Forecast!$B$12:N$110,10)</f>
        <v>0</v>
      </c>
      <c r="K66" s="1266">
        <f>VLOOKUP($A66,Forecast!$B$12:O$110,11)</f>
        <v>0</v>
      </c>
    </row>
    <row r="67" spans="1:11">
      <c r="A67" s="1204">
        <v>9.0399999999999991</v>
      </c>
      <c r="B67" s="1308" t="s">
        <v>149</v>
      </c>
      <c r="C67" s="1223">
        <f>VLOOKUP($A67,Forecast!$B$12:L$110,3)</f>
        <v>0</v>
      </c>
      <c r="D67" s="1224">
        <f>VLOOKUP($A67,Forecast!$B$12:M$110,4)</f>
        <v>0</v>
      </c>
      <c r="E67" s="1225">
        <f>VLOOKUP($A67,Forecast!$B$12:M$110,5)</f>
        <v>0</v>
      </c>
      <c r="F67" s="1226">
        <f t="shared" si="0"/>
        <v>0</v>
      </c>
      <c r="G67" s="1227">
        <f>VLOOKUP($A67,Forecast!$B$12:M$110,7)</f>
        <v>0</v>
      </c>
      <c r="H67" s="1265">
        <f>VLOOKUP($A67,Forecast!$B$12:M$110,8)</f>
        <v>0</v>
      </c>
      <c r="I67" s="1265">
        <f>VLOOKUP($A67,Forecast!$B$12:M$110,9)</f>
        <v>0</v>
      </c>
      <c r="J67" s="1265">
        <f>VLOOKUP($A67,Forecast!$B$12:N$110,10)</f>
        <v>0</v>
      </c>
      <c r="K67" s="1266">
        <f>VLOOKUP($A67,Forecast!$B$12:O$110,11)</f>
        <v>0</v>
      </c>
    </row>
    <row r="68" spans="1:11">
      <c r="A68" s="1204">
        <v>9.0449999999999999</v>
      </c>
      <c r="B68" s="1308" t="s">
        <v>150</v>
      </c>
      <c r="C68" s="1223">
        <f>VLOOKUP($A68,Forecast!$B$12:L$110,3)</f>
        <v>0</v>
      </c>
      <c r="D68" s="1224">
        <f>VLOOKUP($A68,Forecast!$B$12:M$110,4)</f>
        <v>0</v>
      </c>
      <c r="E68" s="1225">
        <f>VLOOKUP($A68,Forecast!$B$12:M$110,5)</f>
        <v>0</v>
      </c>
      <c r="F68" s="1226">
        <f t="shared" si="0"/>
        <v>0</v>
      </c>
      <c r="G68" s="1227">
        <f>VLOOKUP($A68,Forecast!$B$12:M$110,7)</f>
        <v>0</v>
      </c>
      <c r="H68" s="1265">
        <f>VLOOKUP($A68,Forecast!$B$12:M$110,8)</f>
        <v>0</v>
      </c>
      <c r="I68" s="1265">
        <f>VLOOKUP($A68,Forecast!$B$12:M$110,9)</f>
        <v>0</v>
      </c>
      <c r="J68" s="1265">
        <f>VLOOKUP($A68,Forecast!$B$12:N$110,10)</f>
        <v>0</v>
      </c>
      <c r="K68" s="1266">
        <f>VLOOKUP($A68,Forecast!$B$12:O$110,11)</f>
        <v>0</v>
      </c>
    </row>
    <row r="69" spans="1:11">
      <c r="A69" s="1204">
        <v>9.0500000000000007</v>
      </c>
      <c r="B69" s="1308" t="s">
        <v>151</v>
      </c>
      <c r="C69" s="1223">
        <f>VLOOKUP($A69,Forecast!$B$12:L$110,3)</f>
        <v>0</v>
      </c>
      <c r="D69" s="1224">
        <f>VLOOKUP($A69,Forecast!$B$12:M$110,4)</f>
        <v>0</v>
      </c>
      <c r="E69" s="1225">
        <f>VLOOKUP($A69,Forecast!$B$12:M$110,5)</f>
        <v>0</v>
      </c>
      <c r="F69" s="1226">
        <f t="shared" si="0"/>
        <v>0</v>
      </c>
      <c r="G69" s="1227">
        <f>VLOOKUP($A69,Forecast!$B$12:M$110,7)</f>
        <v>0</v>
      </c>
      <c r="H69" s="1265">
        <f>VLOOKUP($A69,Forecast!$B$12:M$110,8)</f>
        <v>0</v>
      </c>
      <c r="I69" s="1265">
        <f>VLOOKUP($A69,Forecast!$B$12:M$110,9)</f>
        <v>0</v>
      </c>
      <c r="J69" s="1265">
        <f>VLOOKUP($A69,Forecast!$B$12:N$110,10)</f>
        <v>0</v>
      </c>
      <c r="K69" s="1266">
        <f>VLOOKUP($A69,Forecast!$B$12:O$110,11)</f>
        <v>0</v>
      </c>
    </row>
    <row r="70" spans="1:11">
      <c r="A70" s="1204">
        <v>9.06</v>
      </c>
      <c r="B70" s="1308" t="s">
        <v>152</v>
      </c>
      <c r="C70" s="1223">
        <f>VLOOKUP($A70,Forecast!$B$12:L$110,3)</f>
        <v>0</v>
      </c>
      <c r="D70" s="1224">
        <f>VLOOKUP($A70,Forecast!$B$12:M$110,4)</f>
        <v>0</v>
      </c>
      <c r="E70" s="1225">
        <f>VLOOKUP($A70,Forecast!$B$12:M$110,5)</f>
        <v>0</v>
      </c>
      <c r="F70" s="1226">
        <f t="shared" si="0"/>
        <v>0</v>
      </c>
      <c r="G70" s="1227">
        <f>VLOOKUP($A70,Forecast!$B$12:M$110,7)</f>
        <v>0</v>
      </c>
      <c r="H70" s="1265">
        <f>VLOOKUP($A70,Forecast!$B$12:M$110,8)</f>
        <v>0</v>
      </c>
      <c r="I70" s="1265">
        <f>VLOOKUP($A70,Forecast!$B$12:M$110,9)</f>
        <v>0</v>
      </c>
      <c r="J70" s="1265">
        <f>VLOOKUP($A70,Forecast!$B$12:N$110,10)</f>
        <v>0</v>
      </c>
      <c r="K70" s="1266">
        <f>VLOOKUP($A70,Forecast!$B$12:O$110,11)</f>
        <v>0</v>
      </c>
    </row>
    <row r="71" spans="1:11">
      <c r="A71" s="1204">
        <v>9.07</v>
      </c>
      <c r="B71" s="1308" t="s">
        <v>153</v>
      </c>
      <c r="C71" s="1223">
        <f>VLOOKUP($A71,Forecast!$B$12:L$110,3)</f>
        <v>0</v>
      </c>
      <c r="D71" s="1224">
        <f>VLOOKUP($A71,Forecast!$B$12:M$110,4)</f>
        <v>0</v>
      </c>
      <c r="E71" s="1225">
        <f>VLOOKUP($A71,Forecast!$B$12:M$110,5)</f>
        <v>0</v>
      </c>
      <c r="F71" s="1226">
        <f t="shared" si="0"/>
        <v>0</v>
      </c>
      <c r="G71" s="1227">
        <f>VLOOKUP($A71,Forecast!$B$12:M$110,7)</f>
        <v>0</v>
      </c>
      <c r="H71" s="1265">
        <f>VLOOKUP($A71,Forecast!$B$12:M$110,8)</f>
        <v>0</v>
      </c>
      <c r="I71" s="1265">
        <f>VLOOKUP($A71,Forecast!$B$12:M$110,9)</f>
        <v>0</v>
      </c>
      <c r="J71" s="1265">
        <f>VLOOKUP($A71,Forecast!$B$12:N$110,10)</f>
        <v>0</v>
      </c>
      <c r="K71" s="1266">
        <f>VLOOKUP($A71,Forecast!$B$12:O$110,11)</f>
        <v>0</v>
      </c>
    </row>
    <row r="72" spans="1:11" s="1239" customFormat="1" ht="14.4">
      <c r="A72" s="1230">
        <v>9.08</v>
      </c>
      <c r="B72" s="1309" t="s">
        <v>154</v>
      </c>
      <c r="C72" s="1298">
        <f>VLOOKUP($A72,Forecast!$B$12:L$110,3)</f>
        <v>0</v>
      </c>
      <c r="D72" s="1298">
        <f>VLOOKUP($A72,Forecast!$B$12:M$110,4)</f>
        <v>0</v>
      </c>
      <c r="E72" s="1298">
        <f>VLOOKUP($A72,Forecast!$B$12:M$110,5)</f>
        <v>0</v>
      </c>
      <c r="F72" s="1310">
        <f t="shared" si="0"/>
        <v>0</v>
      </c>
      <c r="G72" s="1292">
        <f>VLOOKUP($A72,Forecast!$B$12:M$110,7)</f>
        <v>0</v>
      </c>
      <c r="H72" s="1311">
        <f>VLOOKUP($A72,Forecast!$B$12:M$110,8)</f>
        <v>0</v>
      </c>
      <c r="I72" s="1311">
        <f>VLOOKUP($A72,Forecast!$B$12:M$110,9)</f>
        <v>0</v>
      </c>
      <c r="J72" s="1311">
        <f>VLOOKUP($A72,Forecast!$B$12:N$110,10)</f>
        <v>0</v>
      </c>
      <c r="K72" s="1312">
        <f>VLOOKUP($A72,Forecast!$B$12:O$110,11)</f>
        <v>0</v>
      </c>
    </row>
    <row r="73" spans="1:11" ht="8.25" customHeight="1">
      <c r="A73" s="1204"/>
      <c r="B73" s="1249"/>
      <c r="C73" s="1240"/>
      <c r="D73" s="1241"/>
      <c r="E73" s="1242"/>
      <c r="F73" s="1209"/>
      <c r="G73" s="1243"/>
      <c r="H73" s="1244"/>
      <c r="I73" s="1244"/>
      <c r="J73" s="1244"/>
      <c r="K73" s="1245"/>
    </row>
    <row r="74" spans="1:11" s="1239" customFormat="1" ht="13.5" customHeight="1">
      <c r="A74" s="1230">
        <v>10.01</v>
      </c>
      <c r="B74" s="1313" t="s">
        <v>155</v>
      </c>
      <c r="C74" s="1256">
        <f>C59-C61-C72</f>
        <v>7030148</v>
      </c>
      <c r="D74" s="1257">
        <f>D59-D61-D72</f>
        <v>6529301</v>
      </c>
      <c r="E74" s="1258">
        <f>E59-E61-E72</f>
        <v>6532351</v>
      </c>
      <c r="F74" s="1314">
        <f t="shared" si="0"/>
        <v>-3.5387807043634444E-2</v>
      </c>
      <c r="G74" s="1260">
        <f>G59-G61-G72</f>
        <v>5417966</v>
      </c>
      <c r="H74" s="1261">
        <f>H59-H61-H72</f>
        <v>3304066</v>
      </c>
      <c r="I74" s="1261">
        <f>I59-I61-I72</f>
        <v>-712384</v>
      </c>
      <c r="J74" s="1261">
        <f>J59-J61-J72</f>
        <v>-5498098</v>
      </c>
      <c r="K74" s="1262">
        <f>K59-K61-K72</f>
        <v>-10950551</v>
      </c>
    </row>
    <row r="75" spans="1:11" ht="8.25" customHeight="1">
      <c r="A75" s="1204"/>
      <c r="B75" s="1249"/>
      <c r="C75" s="1240"/>
      <c r="D75" s="1241"/>
      <c r="E75" s="1241"/>
      <c r="F75" s="1315"/>
      <c r="G75" s="1243"/>
      <c r="H75" s="1263"/>
      <c r="I75" s="1263"/>
      <c r="J75" s="1263"/>
      <c r="K75" s="1264"/>
    </row>
    <row r="76" spans="1:11">
      <c r="A76" s="1204"/>
      <c r="B76" s="1316" t="s">
        <v>156</v>
      </c>
      <c r="C76" s="1240"/>
      <c r="D76" s="1241"/>
      <c r="E76" s="1241"/>
      <c r="F76" s="1317"/>
      <c r="G76" s="1243"/>
      <c r="H76" s="1244"/>
      <c r="I76" s="1244"/>
      <c r="J76" s="1244"/>
      <c r="K76" s="1245"/>
    </row>
    <row r="77" spans="1:11">
      <c r="A77" s="1204">
        <v>11.01</v>
      </c>
      <c r="B77" s="1174" t="s">
        <v>157</v>
      </c>
      <c r="C77" s="1223">
        <f>VLOOKUP($A77,Forecast!$B$12:L$110,3)</f>
        <v>0</v>
      </c>
      <c r="D77" s="1224">
        <f>VLOOKUP($A77,Forecast!$B$12:M$110,4)</f>
        <v>0</v>
      </c>
      <c r="E77" s="1225">
        <f>VLOOKUP($A77,Forecast!$B$12:M$110,5)</f>
        <v>0</v>
      </c>
      <c r="F77" s="1226">
        <f t="shared" ref="F77:F78" si="2">IF(IF(OR(C77=0,D77=0),0,AVERAGE((D77-C77)/C77,(E77-D77)/D77))&gt;999.99,999.99,IF(OR(C77=0,D77=0),0,AVERAGE((D77-C77)/C77,(E77-D77)/D77)))</f>
        <v>0</v>
      </c>
      <c r="G77" s="1227">
        <f>VLOOKUP($A77,Forecast!$B$12:M$110,7)</f>
        <v>0</v>
      </c>
      <c r="H77" s="1265">
        <f>VLOOKUP($A77,Forecast!$B$12:M$110,8)</f>
        <v>0</v>
      </c>
      <c r="I77" s="1265">
        <f>VLOOKUP($A77,Forecast!$B$12:M$110,9)</f>
        <v>0</v>
      </c>
      <c r="J77" s="1265">
        <f>VLOOKUP($A77,Forecast!$B$12:N$110,10)</f>
        <v>0</v>
      </c>
      <c r="K77" s="1266">
        <f>VLOOKUP($A77,Forecast!$B$12:O$110,11)</f>
        <v>0</v>
      </c>
    </row>
    <row r="78" spans="1:11">
      <c r="A78" s="1204">
        <v>11.02</v>
      </c>
      <c r="B78" s="1174" t="s">
        <v>158</v>
      </c>
      <c r="C78" s="1223">
        <f>VLOOKUP($A78,Forecast!$B$12:L$110,3)</f>
        <v>0</v>
      </c>
      <c r="D78" s="1224">
        <f>VLOOKUP($A78,Forecast!$B$12:M$110,4)</f>
        <v>0</v>
      </c>
      <c r="E78" s="1225">
        <f>VLOOKUP($A78,Forecast!$B$12:M$110,5)</f>
        <v>0</v>
      </c>
      <c r="F78" s="1226">
        <f t="shared" si="2"/>
        <v>0</v>
      </c>
      <c r="G78" s="1227">
        <f>VLOOKUP($A78,Forecast!$B$12:M$110,7)</f>
        <v>0</v>
      </c>
      <c r="H78" s="1265">
        <f>VLOOKUP($A78,Forecast!$B$12:M$110,8)</f>
        <v>903671</v>
      </c>
      <c r="I78" s="1265">
        <f>VLOOKUP($A78,Forecast!$B$12:M$110,9)</f>
        <v>1785476</v>
      </c>
      <c r="J78" s="1265">
        <f>VLOOKUP($A78,Forecast!$B$12:N$110,10)</f>
        <v>1785476</v>
      </c>
      <c r="K78" s="1266">
        <f>VLOOKUP($A78,Forecast!$B$12:O$110,11)</f>
        <v>1785476</v>
      </c>
    </row>
    <row r="79" spans="1:11" ht="7.5" customHeight="1">
      <c r="A79" s="1204"/>
      <c r="C79" s="1318"/>
      <c r="D79" s="1319"/>
      <c r="E79" s="1319"/>
      <c r="F79" s="1320"/>
      <c r="G79" s="1321"/>
      <c r="H79" s="1265"/>
      <c r="I79" s="1265"/>
      <c r="J79" s="1265"/>
      <c r="K79" s="1266"/>
    </row>
    <row r="80" spans="1:11" s="1239" customFormat="1" ht="13.8">
      <c r="A80" s="1230">
        <v>11.3</v>
      </c>
      <c r="B80" s="1239" t="s">
        <v>159</v>
      </c>
      <c r="C80" s="1223">
        <f>VLOOKUP($A80,Forecast!$B$12:L$110,3)</f>
        <v>0</v>
      </c>
      <c r="D80" s="1224">
        <f>VLOOKUP($A80,Forecast!$B$12:M$110,4)</f>
        <v>0</v>
      </c>
      <c r="E80" s="1225">
        <f>VLOOKUP($A80,Forecast!$B$12:M$110,5)</f>
        <v>0</v>
      </c>
      <c r="F80" s="1226">
        <f t="shared" ref="F80" si="3">IF(IF(OR(C80=0,D80=0),0,AVERAGE((D80-C80)/C80,(E80-D80)/D80))&gt;999.99,999.99,IF(OR(C80=0,D80=0),0,AVERAGE((D80-C80)/C80,(E80-D80)/D80)))</f>
        <v>0</v>
      </c>
      <c r="G80" s="1227">
        <f>VLOOKUP($A80,Forecast!$B$12:M$110,7)</f>
        <v>0</v>
      </c>
      <c r="H80" s="1265">
        <f>VLOOKUP($A80,Forecast!$B$12:M$110,8)</f>
        <v>903671</v>
      </c>
      <c r="I80" s="1265">
        <f>VLOOKUP($A80,Forecast!$B$12:M$110,9)</f>
        <v>2689147</v>
      </c>
      <c r="J80" s="1265">
        <f>VLOOKUP($A80,Forecast!$B$12:N$110,10)</f>
        <v>4474623</v>
      </c>
      <c r="K80" s="1266">
        <f>VLOOKUP($A80,Forecast!$B$12:O$110,11)</f>
        <v>6260099</v>
      </c>
    </row>
    <row r="81" spans="1:11" ht="9" customHeight="1">
      <c r="A81" s="1204"/>
      <c r="B81" s="1249"/>
      <c r="C81" s="1240"/>
      <c r="D81" s="1241"/>
      <c r="E81" s="1242"/>
      <c r="F81" s="1209"/>
      <c r="G81" s="1243"/>
      <c r="H81" s="1244"/>
      <c r="I81" s="1244"/>
      <c r="J81" s="1244"/>
      <c r="K81" s="1245"/>
    </row>
    <row r="82" spans="1:11" s="1239" customFormat="1" ht="28.8">
      <c r="A82" s="1277">
        <v>12.01</v>
      </c>
      <c r="B82" s="1278" t="s">
        <v>160</v>
      </c>
      <c r="C82" s="1256">
        <f>C74+C80</f>
        <v>7030148</v>
      </c>
      <c r="D82" s="1257">
        <f>D74+D80</f>
        <v>6529301</v>
      </c>
      <c r="E82" s="1258">
        <f>E74+E80</f>
        <v>6532351</v>
      </c>
      <c r="F82" s="1259">
        <f t="shared" ref="F82:F92" si="4">IF(IF(OR(C82=0,D82=0),0,AVERAGE((D82-C82)/C82,(E82-D82)/D82))&gt;999.99,999.99,IF(OR(C82=0,D82=0),0,AVERAGE((D82-C82)/C82,(E82-D82)/D82)))</f>
        <v>-3.5387807043634444E-2</v>
      </c>
      <c r="G82" s="1260">
        <f>G74+G80</f>
        <v>5417966</v>
      </c>
      <c r="H82" s="1261">
        <f>H74+H80</f>
        <v>4207737</v>
      </c>
      <c r="I82" s="1261">
        <f>I74+I80</f>
        <v>1976763</v>
      </c>
      <c r="J82" s="1261">
        <f>J74+J80</f>
        <v>-1023475</v>
      </c>
      <c r="K82" s="1262">
        <f>K74+K80</f>
        <v>-4690452</v>
      </c>
    </row>
    <row r="83" spans="1:11">
      <c r="A83" s="1204"/>
      <c r="C83" s="1240"/>
      <c r="D83" s="1241"/>
      <c r="E83" s="1242"/>
      <c r="F83" s="1304"/>
      <c r="G83" s="1243"/>
      <c r="H83" s="1263"/>
      <c r="I83" s="1263"/>
      <c r="J83" s="1263"/>
      <c r="K83" s="1264"/>
    </row>
    <row r="84" spans="1:11">
      <c r="A84" s="1204"/>
      <c r="B84" s="1305" t="s">
        <v>161</v>
      </c>
      <c r="C84" s="1241"/>
      <c r="D84" s="1241"/>
      <c r="E84" s="1242"/>
      <c r="F84" s="1306"/>
      <c r="G84" s="1244"/>
      <c r="H84" s="1244"/>
      <c r="I84" s="1244"/>
      <c r="J84" s="1244"/>
      <c r="K84" s="1245"/>
    </row>
    <row r="85" spans="1:11">
      <c r="A85" s="1204">
        <v>13.01</v>
      </c>
      <c r="B85" s="1308" t="s">
        <v>162</v>
      </c>
      <c r="C85" s="1223">
        <f>VLOOKUP($A85,Forecast!$B$12:L$110,3)</f>
        <v>0</v>
      </c>
      <c r="D85" s="1224">
        <f>VLOOKUP($A85,Forecast!$B$12:M$110,4)</f>
        <v>0</v>
      </c>
      <c r="E85" s="1225">
        <f>VLOOKUP($A85,Forecast!$B$12:M$110,5)</f>
        <v>0</v>
      </c>
      <c r="F85" s="1226">
        <f t="shared" si="4"/>
        <v>0</v>
      </c>
      <c r="G85" s="1227">
        <f>VLOOKUP($A85,Forecast!$B$12:M$110,7)</f>
        <v>0</v>
      </c>
      <c r="H85" s="1265">
        <f>VLOOKUP($A85,Forecast!$B$12:M$110,8)</f>
        <v>0</v>
      </c>
      <c r="I85" s="1265">
        <f>VLOOKUP($A85,Forecast!$B$12:M$110,9)</f>
        <v>0</v>
      </c>
      <c r="J85" s="1265">
        <f>VLOOKUP($A85,Forecast!$B$12:N$110,10)</f>
        <v>0</v>
      </c>
      <c r="K85" s="1266">
        <f>VLOOKUP($A85,Forecast!$B$12:O$110,11)</f>
        <v>0</v>
      </c>
    </row>
    <row r="86" spans="1:11">
      <c r="A86" s="1204">
        <v>13.02</v>
      </c>
      <c r="B86" s="1308" t="s">
        <v>163</v>
      </c>
      <c r="C86" s="1223">
        <f>VLOOKUP($A86,Forecast!$B$12:L$110,3)</f>
        <v>0</v>
      </c>
      <c r="D86" s="1224">
        <f>VLOOKUP($A86,Forecast!$B$12:M$110,4)</f>
        <v>0</v>
      </c>
      <c r="E86" s="1225">
        <f>VLOOKUP($A86,Forecast!$B$12:M$110,5)</f>
        <v>0</v>
      </c>
      <c r="F86" s="1226">
        <f t="shared" si="4"/>
        <v>0</v>
      </c>
      <c r="G86" s="1227">
        <f>VLOOKUP($A86,Forecast!$B$12:M$110,7)</f>
        <v>0</v>
      </c>
      <c r="H86" s="1265">
        <f>VLOOKUP($A86,Forecast!$B$12:M$110,8)</f>
        <v>0</v>
      </c>
      <c r="I86" s="1265">
        <f>VLOOKUP($A86,Forecast!$B$12:M$110,9)</f>
        <v>0</v>
      </c>
      <c r="J86" s="1265">
        <f>VLOOKUP($A86,Forecast!$B$12:N$110,10)</f>
        <v>0</v>
      </c>
      <c r="K86" s="1266">
        <f>VLOOKUP($A86,Forecast!$B$12:O$110,11)</f>
        <v>0</v>
      </c>
    </row>
    <row r="87" spans="1:11" ht="8.25" customHeight="1">
      <c r="A87" s="1204"/>
      <c r="C87" s="1318"/>
      <c r="D87" s="1319"/>
      <c r="E87" s="1322"/>
      <c r="F87" s="1323"/>
      <c r="G87" s="1321"/>
      <c r="H87" s="1265"/>
      <c r="I87" s="1265"/>
      <c r="J87" s="1265"/>
      <c r="K87" s="1266"/>
    </row>
    <row r="88" spans="1:11" s="1239" customFormat="1" ht="13.8">
      <c r="A88" s="1230">
        <v>13.03</v>
      </c>
      <c r="B88" s="1239" t="s">
        <v>164</v>
      </c>
      <c r="C88" s="1324">
        <f>C85+C86</f>
        <v>0</v>
      </c>
      <c r="D88" s="1325">
        <f>D85+D86+C88</f>
        <v>0</v>
      </c>
      <c r="E88" s="1326">
        <f>E85+E86+D88</f>
        <v>0</v>
      </c>
      <c r="F88" s="1327">
        <f t="shared" si="4"/>
        <v>0</v>
      </c>
      <c r="G88" s="1328">
        <f>G85+G86+E88</f>
        <v>0</v>
      </c>
      <c r="H88" s="1329">
        <f>H85+H86+G88</f>
        <v>0</v>
      </c>
      <c r="I88" s="1329">
        <f>I85+I86+H88</f>
        <v>0</v>
      </c>
      <c r="J88" s="1329">
        <f>J85+J86+I88</f>
        <v>0</v>
      </c>
      <c r="K88" s="1330">
        <f>K85+K86+J88</f>
        <v>0</v>
      </c>
    </row>
    <row r="89" spans="1:11" ht="9" customHeight="1">
      <c r="A89" s="1204"/>
      <c r="C89" s="1240"/>
      <c r="D89" s="1241"/>
      <c r="E89" s="1242"/>
      <c r="F89" s="1304"/>
      <c r="G89" s="1243"/>
      <c r="H89" s="1244"/>
      <c r="I89" s="1244"/>
      <c r="J89" s="1244"/>
      <c r="K89" s="1245"/>
    </row>
    <row r="90" spans="1:11">
      <c r="A90" s="1204">
        <v>14.01</v>
      </c>
      <c r="B90" s="1174" t="s">
        <v>165</v>
      </c>
      <c r="C90" s="1223">
        <f>VLOOKUP($A90,Forecast!$B$12:L$110,3)</f>
        <v>0</v>
      </c>
      <c r="D90" s="1224">
        <f>VLOOKUP($A90,Forecast!$B$12:M$110,4)</f>
        <v>0</v>
      </c>
      <c r="E90" s="1225">
        <f>VLOOKUP($A90,Forecast!$B$12:M$110,5)</f>
        <v>0</v>
      </c>
      <c r="F90" s="1226">
        <f t="shared" si="4"/>
        <v>0</v>
      </c>
      <c r="G90" s="1227">
        <f>VLOOKUP($A90,Forecast!$B$12:M$110,7)</f>
        <v>0</v>
      </c>
      <c r="H90" s="1265">
        <f>VLOOKUP($A90,Forecast!$B$12:M$110,8)</f>
        <v>0</v>
      </c>
      <c r="I90" s="1265">
        <f>VLOOKUP($A90,Forecast!$B$12:M$110,9)</f>
        <v>0</v>
      </c>
      <c r="J90" s="1265">
        <f>VLOOKUP($A90,Forecast!$B$12:N$110,10)</f>
        <v>0</v>
      </c>
      <c r="K90" s="1266">
        <f>VLOOKUP($A90,Forecast!$B$12:O$110,11)</f>
        <v>0</v>
      </c>
    </row>
    <row r="91" spans="1:11" ht="6.75" customHeight="1">
      <c r="C91" s="1240"/>
      <c r="D91" s="1241"/>
      <c r="E91" s="1241"/>
      <c r="F91" s="1317"/>
      <c r="G91" s="1243"/>
      <c r="H91" s="1244"/>
      <c r="I91" s="1244"/>
      <c r="J91" s="1244"/>
      <c r="K91" s="1245"/>
    </row>
    <row r="92" spans="1:11" s="1239" customFormat="1" ht="15" thickBot="1">
      <c r="A92" s="1230">
        <v>15.01</v>
      </c>
      <c r="B92" s="1231" t="s">
        <v>166</v>
      </c>
      <c r="C92" s="1332">
        <f>C82+C88+C90</f>
        <v>7030148</v>
      </c>
      <c r="D92" s="1333">
        <f>D82+D88+D90</f>
        <v>6529301</v>
      </c>
      <c r="E92" s="1334">
        <f>E82+E88+E90</f>
        <v>6532351</v>
      </c>
      <c r="F92" s="1335">
        <f t="shared" si="4"/>
        <v>-3.5387807043634444E-2</v>
      </c>
      <c r="G92" s="1336">
        <f>G82+G88+G90</f>
        <v>5417966</v>
      </c>
      <c r="H92" s="1337">
        <f>H82+H88+H90</f>
        <v>4207737</v>
      </c>
      <c r="I92" s="1337">
        <f>I82+I88+I90</f>
        <v>1976763</v>
      </c>
      <c r="J92" s="1337">
        <f>J82+J88+J90</f>
        <v>-1023475</v>
      </c>
      <c r="K92" s="1338">
        <f>K82+K88+K90</f>
        <v>-4690452</v>
      </c>
    </row>
    <row r="93" spans="1:11" ht="12.75" customHeight="1" thickTop="1">
      <c r="C93" s="1339"/>
      <c r="D93" s="1340"/>
      <c r="E93" s="1340"/>
      <c r="F93" s="1341"/>
      <c r="G93" s="1342"/>
      <c r="H93" s="1343"/>
      <c r="I93" s="1343"/>
      <c r="J93" s="1343"/>
      <c r="K93" s="1344"/>
    </row>
    <row r="94" spans="1:11" ht="12.75" customHeight="1">
      <c r="B94" s="1305" t="s">
        <v>1012</v>
      </c>
      <c r="C94" s="1345"/>
      <c r="D94" s="1340"/>
      <c r="E94" s="1340"/>
      <c r="F94" s="1346"/>
      <c r="G94" s="1347"/>
      <c r="H94" s="1343"/>
      <c r="I94" s="1343"/>
      <c r="J94" s="1343"/>
      <c r="K94" s="1348"/>
    </row>
    <row r="95" spans="1:11" ht="12.75" customHeight="1">
      <c r="A95" s="1204">
        <v>20.010000000000002</v>
      </c>
      <c r="B95" s="1174" t="s">
        <v>1013</v>
      </c>
      <c r="C95" s="1223">
        <f>VLOOKUP($A95,Forecast!$B$12:L$110,3)</f>
        <v>0</v>
      </c>
      <c r="D95" s="1224">
        <f>VLOOKUP($A95,Forecast!$B$12:M$110,4)</f>
        <v>0</v>
      </c>
      <c r="E95" s="1225">
        <f>VLOOKUP($A95,Forecast!$B$12:M$110,5)</f>
        <v>0</v>
      </c>
      <c r="F95" s="1226">
        <f t="shared" ref="F95:F96" si="5">IF(IF(OR(C95=0,D95=0),0,AVERAGE((D95-C95)/C95,(E95-D95)/D95))&gt;999.99,999.99,IF(OR(C95=0,D95=0),0,AVERAGE((D95-C95)/C95,(E95-D95)/D95)))</f>
        <v>0</v>
      </c>
      <c r="G95" s="1227">
        <f>VLOOKUP($A95,Forecast!$B$12:M$110,7)</f>
        <v>0</v>
      </c>
      <c r="H95" s="1265">
        <f>VLOOKUP($A95,Forecast!$B$12:M$110,8)</f>
        <v>0</v>
      </c>
      <c r="I95" s="1265">
        <f>VLOOKUP($A95,Forecast!$B$12:M$110,9)</f>
        <v>0</v>
      </c>
      <c r="J95" s="1265">
        <f>VLOOKUP($A95,Forecast!$B$12:N$110,10)</f>
        <v>0</v>
      </c>
      <c r="K95" s="1266">
        <f>VLOOKUP($A95,Forecast!$B$12:O$110,11)</f>
        <v>0</v>
      </c>
    </row>
    <row r="96" spans="1:11" ht="12.75" customHeight="1">
      <c r="A96" s="1331">
        <v>20.015000000000001</v>
      </c>
      <c r="B96" s="1174" t="s">
        <v>1014</v>
      </c>
      <c r="C96" s="1223">
        <f>VLOOKUP($A96,Forecast!$B$12:L$110,3)</f>
        <v>0</v>
      </c>
      <c r="D96" s="1224">
        <f>VLOOKUP($A96,Forecast!$B$12:M$110,4)</f>
        <v>0</v>
      </c>
      <c r="E96" s="1225">
        <f>VLOOKUP($A96,Forecast!$B$12:M$110,5)</f>
        <v>0</v>
      </c>
      <c r="F96" s="1226">
        <f t="shared" si="5"/>
        <v>0</v>
      </c>
      <c r="G96" s="1227">
        <f>VLOOKUP($A96,Forecast!$B$12:M$110,7)</f>
        <v>0</v>
      </c>
      <c r="H96" s="1265">
        <f>VLOOKUP($A96,Forecast!$B$12:M$110,8)</f>
        <v>0</v>
      </c>
      <c r="I96" s="1265">
        <f>VLOOKUP($A96,Forecast!$B$12:M$110,9)</f>
        <v>0</v>
      </c>
      <c r="J96" s="1265">
        <f>VLOOKUP($A96,Forecast!$B$12:N$110,10)</f>
        <v>0</v>
      </c>
      <c r="K96" s="1266">
        <f>VLOOKUP($A96,Forecast!$B$12:O$110,11)</f>
        <v>0</v>
      </c>
    </row>
    <row r="97" spans="1:14" ht="12.75" customHeight="1">
      <c r="B97" s="1349" t="s">
        <v>1015</v>
      </c>
      <c r="C97" s="1345"/>
      <c r="D97" s="1340"/>
      <c r="E97" s="1340"/>
      <c r="F97" s="1306"/>
      <c r="G97" s="1347"/>
      <c r="H97" s="1343"/>
      <c r="I97" s="1343"/>
      <c r="J97" s="1343"/>
      <c r="K97" s="1348"/>
      <c r="N97" s="1350"/>
    </row>
    <row r="98" spans="1:14" ht="12.75" customHeight="1">
      <c r="A98" s="1351">
        <v>21.01</v>
      </c>
      <c r="B98" s="1222" t="s">
        <v>1016</v>
      </c>
      <c r="C98" s="1214"/>
      <c r="D98" s="1215"/>
      <c r="E98" s="1216"/>
      <c r="F98" s="1217"/>
      <c r="G98" s="1218"/>
      <c r="H98" s="1343"/>
      <c r="I98" s="1343"/>
      <c r="J98" s="1343"/>
      <c r="K98" s="1348"/>
    </row>
    <row r="99" spans="1:14" ht="12.75" customHeight="1">
      <c r="A99" s="1351">
        <v>21.02</v>
      </c>
      <c r="B99" s="1222" t="s">
        <v>1017</v>
      </c>
      <c r="C99" s="1214"/>
      <c r="D99" s="1215"/>
      <c r="E99" s="1216"/>
      <c r="F99" s="1217"/>
      <c r="G99" s="1218"/>
      <c r="H99" s="1352"/>
      <c r="I99" s="1352"/>
      <c r="J99" s="1352"/>
      <c r="K99" s="1348"/>
    </row>
    <row r="100" spans="1:14" ht="12.75" customHeight="1">
      <c r="A100" s="1351">
        <v>21.03</v>
      </c>
      <c r="B100" s="1222" t="s">
        <v>1018</v>
      </c>
      <c r="C100" s="1214"/>
      <c r="D100" s="1215"/>
      <c r="E100" s="1216"/>
      <c r="F100" s="1217"/>
      <c r="G100" s="1218"/>
      <c r="H100" s="1352"/>
      <c r="I100" s="1352"/>
      <c r="J100" s="1352"/>
      <c r="K100" s="1348"/>
    </row>
    <row r="101" spans="1:14">
      <c r="A101" s="1351">
        <v>21.04</v>
      </c>
      <c r="B101" s="1222" t="s">
        <v>1019</v>
      </c>
      <c r="C101" s="1214"/>
      <c r="D101" s="1215"/>
      <c r="E101" s="1216"/>
      <c r="F101" s="1217"/>
      <c r="G101" s="1218"/>
      <c r="H101" s="1352"/>
      <c r="I101" s="1352"/>
      <c r="J101" s="1352"/>
      <c r="K101" s="1348"/>
    </row>
    <row r="102" spans="1:14">
      <c r="A102" s="1351">
        <v>21.05</v>
      </c>
      <c r="B102" s="1222" t="s">
        <v>1020</v>
      </c>
      <c r="C102" s="1214"/>
      <c r="D102" s="1215"/>
      <c r="E102" s="1216"/>
      <c r="F102" s="1217"/>
      <c r="G102" s="1218"/>
      <c r="H102" s="1353"/>
      <c r="I102" s="1353"/>
      <c r="J102" s="1353"/>
      <c r="K102" s="1354"/>
    </row>
    <row r="103" spans="1:14" ht="15" thickBot="1">
      <c r="A103" s="1351">
        <v>21.06</v>
      </c>
      <c r="B103" s="1355" t="s">
        <v>1021</v>
      </c>
      <c r="C103" s="1356"/>
      <c r="D103" s="1357"/>
      <c r="E103" s="1357"/>
      <c r="F103" s="1358"/>
      <c r="G103" s="1359"/>
      <c r="H103" s="1360"/>
      <c r="I103" s="1361"/>
      <c r="J103" s="1360"/>
      <c r="K103" s="1362"/>
    </row>
    <row r="104" spans="1:14" ht="13.8" thickTop="1">
      <c r="G104" s="1343"/>
      <c r="H104" s="1343"/>
      <c r="I104" s="1343"/>
      <c r="J104" s="1343"/>
      <c r="K104" s="1343"/>
    </row>
    <row r="105" spans="1:14">
      <c r="G105" s="1343"/>
      <c r="H105" s="1343"/>
      <c r="I105" s="1343"/>
      <c r="J105" s="1343"/>
      <c r="K105" s="1343"/>
    </row>
    <row r="106" spans="1:14" ht="15">
      <c r="B106" s="1366" t="s">
        <v>1022</v>
      </c>
      <c r="G106" s="1343"/>
      <c r="H106" s="1343"/>
      <c r="I106" s="1343"/>
      <c r="J106" s="1343"/>
      <c r="K106" s="1343"/>
    </row>
    <row r="107" spans="1:14" ht="15">
      <c r="B107" s="1366" t="s">
        <v>1023</v>
      </c>
      <c r="G107" s="1343"/>
      <c r="H107" s="1343"/>
      <c r="I107" s="1343"/>
      <c r="J107" s="1343"/>
      <c r="K107" s="1343"/>
    </row>
  </sheetData>
  <sortState ref="A30:K46">
    <sortCondition ref="A30:A46"/>
  </sortState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K107"/>
  <sheetViews>
    <sheetView workbookViewId="0">
      <selection sqref="A1:XFD1048576"/>
    </sheetView>
  </sheetViews>
  <sheetFormatPr defaultColWidth="9.109375" defaultRowHeight="13.2"/>
  <cols>
    <col min="1" max="1" width="9.109375" style="151"/>
    <col min="2" max="2" width="19" style="151" customWidth="1"/>
    <col min="3" max="5" width="11.88671875" style="151" bestFit="1" customWidth="1"/>
    <col min="6" max="6" width="9.109375" style="151"/>
    <col min="7" max="11" width="11.88671875" style="151" bestFit="1" customWidth="1"/>
    <col min="12" max="16384" width="9.109375" style="151"/>
  </cols>
  <sheetData>
    <row r="1" spans="1:11">
      <c r="A1" s="151" t="s">
        <v>931</v>
      </c>
    </row>
    <row r="2" spans="1:11">
      <c r="A2" s="151" t="s">
        <v>930</v>
      </c>
    </row>
    <row r="3" spans="1:11">
      <c r="A3" s="151" t="s">
        <v>87</v>
      </c>
    </row>
    <row r="4" spans="1:11">
      <c r="A4" s="151" t="s">
        <v>1010</v>
      </c>
    </row>
    <row r="5" spans="1:11">
      <c r="A5" s="151" t="s">
        <v>1011</v>
      </c>
    </row>
    <row r="6" spans="1:11" ht="14.4">
      <c r="A6" s="730"/>
    </row>
    <row r="7" spans="1:11">
      <c r="C7" s="151" t="s">
        <v>300</v>
      </c>
      <c r="G7" s="151" t="s">
        <v>88</v>
      </c>
    </row>
    <row r="8" spans="1:11">
      <c r="A8" s="151" t="s">
        <v>250</v>
      </c>
      <c r="C8" s="151" t="s">
        <v>89</v>
      </c>
      <c r="D8" s="151" t="s">
        <v>90</v>
      </c>
      <c r="E8" s="151" t="s">
        <v>90</v>
      </c>
      <c r="F8" s="151" t="s">
        <v>91</v>
      </c>
      <c r="G8" s="151" t="s">
        <v>90</v>
      </c>
      <c r="H8" s="151" t="s">
        <v>90</v>
      </c>
      <c r="I8" s="151" t="s">
        <v>90</v>
      </c>
      <c r="J8" s="151" t="s">
        <v>90</v>
      </c>
      <c r="K8" s="151" t="s">
        <v>90</v>
      </c>
    </row>
    <row r="9" spans="1:11">
      <c r="A9" s="151" t="s">
        <v>250</v>
      </c>
      <c r="C9" s="151">
        <v>2018</v>
      </c>
      <c r="D9" s="151">
        <v>2019</v>
      </c>
      <c r="E9" s="151">
        <v>2020</v>
      </c>
      <c r="F9" s="151" t="s">
        <v>92</v>
      </c>
      <c r="G9" s="151">
        <v>2021</v>
      </c>
      <c r="H9" s="151">
        <v>2022</v>
      </c>
      <c r="I9" s="151">
        <v>2023</v>
      </c>
      <c r="J9" s="151">
        <v>2024</v>
      </c>
      <c r="K9" s="151">
        <v>2025</v>
      </c>
    </row>
    <row r="10" spans="1:11">
      <c r="B10" s="151" t="s">
        <v>93</v>
      </c>
    </row>
    <row r="11" spans="1:11" ht="14.4">
      <c r="A11" s="151">
        <v>1.01</v>
      </c>
      <c r="B11" s="151" t="s">
        <v>94</v>
      </c>
      <c r="C11" s="730">
        <v>9230405</v>
      </c>
      <c r="D11" s="730">
        <v>9157706</v>
      </c>
      <c r="E11" s="730">
        <v>9425875</v>
      </c>
      <c r="F11" s="730">
        <v>1.0703694785835259E-2</v>
      </c>
      <c r="G11" s="730">
        <v>9865381</v>
      </c>
      <c r="H11" s="730">
        <v>10292880</v>
      </c>
      <c r="I11" s="730">
        <v>9656411</v>
      </c>
      <c r="J11" s="730">
        <v>9183823</v>
      </c>
      <c r="K11" s="730">
        <v>9288247</v>
      </c>
    </row>
    <row r="12" spans="1:11" ht="14.4">
      <c r="A12" s="151">
        <v>1.02</v>
      </c>
      <c r="B12" s="25" t="s">
        <v>1024</v>
      </c>
      <c r="C12" s="730">
        <v>1135129</v>
      </c>
      <c r="D12" s="730">
        <v>1240772</v>
      </c>
      <c r="E12" s="730">
        <v>1461169</v>
      </c>
      <c r="F12" s="730">
        <v>0.1353479415911264</v>
      </c>
      <c r="G12" s="730">
        <v>1654190</v>
      </c>
      <c r="H12" s="730">
        <v>1732923</v>
      </c>
      <c r="I12" s="730">
        <v>1709024</v>
      </c>
      <c r="J12" s="730">
        <v>1681257</v>
      </c>
      <c r="K12" s="730">
        <v>1754325</v>
      </c>
    </row>
    <row r="13" spans="1:11" ht="14.4">
      <c r="A13" s="151">
        <v>1.03</v>
      </c>
      <c r="B13" s="9" t="s">
        <v>95</v>
      </c>
      <c r="C13" s="728">
        <v>0</v>
      </c>
      <c r="D13" s="728">
        <v>0</v>
      </c>
      <c r="E13" s="728">
        <v>0</v>
      </c>
      <c r="F13" s="728">
        <v>0</v>
      </c>
      <c r="G13" s="728">
        <v>0</v>
      </c>
      <c r="H13" s="728">
        <v>0</v>
      </c>
      <c r="I13" s="728">
        <v>0</v>
      </c>
      <c r="J13" s="728">
        <v>0</v>
      </c>
      <c r="K13" s="728">
        <v>0</v>
      </c>
    </row>
    <row r="14" spans="1:11" ht="14.4">
      <c r="A14" s="151">
        <v>1.0349999999999999</v>
      </c>
      <c r="B14" s="13" t="s">
        <v>96</v>
      </c>
      <c r="C14" s="729">
        <v>17778828</v>
      </c>
      <c r="D14" s="729">
        <v>18345074</v>
      </c>
      <c r="E14" s="729">
        <v>17717074</v>
      </c>
      <c r="F14" s="729">
        <v>-1.1915834447320424E-3</v>
      </c>
      <c r="G14" s="729">
        <v>17897110</v>
      </c>
      <c r="H14" s="729">
        <v>18033371</v>
      </c>
      <c r="I14" s="729">
        <v>18027840</v>
      </c>
      <c r="J14" s="729">
        <v>18022278</v>
      </c>
      <c r="K14" s="729">
        <v>18016686</v>
      </c>
    </row>
    <row r="15" spans="1:11" ht="14.4">
      <c r="A15" s="151">
        <v>1.04</v>
      </c>
      <c r="B15" s="13" t="s">
        <v>97</v>
      </c>
      <c r="C15" s="729">
        <v>1349638</v>
      </c>
      <c r="D15" s="729">
        <v>1503597</v>
      </c>
      <c r="E15" s="729">
        <v>1545375</v>
      </c>
      <c r="F15" s="729">
        <v>7.0929831597549675E-2</v>
      </c>
      <c r="G15" s="729">
        <v>1545374</v>
      </c>
      <c r="H15" s="729">
        <v>1553801</v>
      </c>
      <c r="I15" s="729">
        <v>1562313</v>
      </c>
      <c r="J15" s="729">
        <v>1570910</v>
      </c>
      <c r="K15" s="729">
        <v>1579593</v>
      </c>
    </row>
    <row r="16" spans="1:11" ht="14.4">
      <c r="A16" s="151">
        <v>1.0449999999999999</v>
      </c>
      <c r="B16" s="9" t="s">
        <v>1025</v>
      </c>
      <c r="C16" s="729">
        <v>0</v>
      </c>
      <c r="D16" s="729">
        <v>0</v>
      </c>
      <c r="E16" s="729">
        <v>0</v>
      </c>
      <c r="F16" s="729">
        <v>0</v>
      </c>
      <c r="G16" s="729">
        <v>0</v>
      </c>
      <c r="H16" s="729">
        <v>0</v>
      </c>
      <c r="I16" s="729">
        <v>0</v>
      </c>
      <c r="J16" s="729">
        <v>0</v>
      </c>
      <c r="K16" s="729">
        <v>0</v>
      </c>
    </row>
    <row r="17" spans="1:11" ht="14.4">
      <c r="A17" s="151">
        <v>1.05</v>
      </c>
      <c r="B17" s="151" t="s">
        <v>98</v>
      </c>
      <c r="C17" s="729">
        <v>2880916</v>
      </c>
      <c r="D17" s="729">
        <v>2668596</v>
      </c>
      <c r="E17" s="729">
        <v>2465279</v>
      </c>
      <c r="F17" s="729">
        <v>-7.4943767176403914E-2</v>
      </c>
      <c r="G17" s="729">
        <v>2239533</v>
      </c>
      <c r="H17" s="729">
        <v>1999580</v>
      </c>
      <c r="I17" s="729">
        <v>1726932</v>
      </c>
      <c r="J17" s="729">
        <v>1410196</v>
      </c>
      <c r="K17" s="729">
        <v>1167772</v>
      </c>
    </row>
    <row r="18" spans="1:11" ht="14.4">
      <c r="A18" s="151">
        <v>1.06</v>
      </c>
      <c r="B18" s="151" t="s">
        <v>99</v>
      </c>
      <c r="C18" s="729">
        <v>1696247</v>
      </c>
      <c r="D18" s="729">
        <v>1900591</v>
      </c>
      <c r="E18" s="729">
        <v>2077305</v>
      </c>
      <c r="F18" s="729">
        <v>0.10672337583475726</v>
      </c>
      <c r="G18" s="729">
        <v>2072884</v>
      </c>
      <c r="H18" s="729">
        <v>2166251</v>
      </c>
      <c r="I18" s="729">
        <v>2146213</v>
      </c>
      <c r="J18" s="729">
        <v>2147395</v>
      </c>
      <c r="K18" s="729">
        <v>2136259</v>
      </c>
    </row>
    <row r="19" spans="1:11" ht="14.4">
      <c r="A19" s="151">
        <v>1.07</v>
      </c>
      <c r="B19" s="151" t="s">
        <v>100</v>
      </c>
      <c r="C19" s="729">
        <v>34071163</v>
      </c>
      <c r="D19" s="729">
        <v>34816336</v>
      </c>
      <c r="E19" s="729">
        <v>34692077</v>
      </c>
      <c r="F19" s="729">
        <v>9.1510452940418846E-3</v>
      </c>
      <c r="G19" s="729">
        <v>35274472</v>
      </c>
      <c r="H19" s="729">
        <v>35778806</v>
      </c>
      <c r="I19" s="729">
        <v>34828733</v>
      </c>
      <c r="J19" s="729">
        <v>34015859</v>
      </c>
      <c r="K19" s="729">
        <v>33942882</v>
      </c>
    </row>
    <row r="21" spans="1:11">
      <c r="B21" s="151" t="s">
        <v>119</v>
      </c>
    </row>
    <row r="22" spans="1:11">
      <c r="A22" s="151">
        <v>2.0099999999999998</v>
      </c>
      <c r="B22" s="151" t="s">
        <v>120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1">
        <v>0</v>
      </c>
    </row>
    <row r="23" spans="1:11">
      <c r="A23" s="151">
        <v>2.02</v>
      </c>
      <c r="B23" s="151" t="s">
        <v>121</v>
      </c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  <c r="J23" s="151">
        <v>0</v>
      </c>
      <c r="K23" s="151">
        <v>0</v>
      </c>
    </row>
    <row r="24" spans="1:11" ht="14.4">
      <c r="A24" s="151">
        <v>2.04</v>
      </c>
      <c r="B24" s="151" t="s">
        <v>122</v>
      </c>
      <c r="C24" s="729">
        <v>0</v>
      </c>
      <c r="D24" s="729">
        <v>15031</v>
      </c>
      <c r="E24" s="729">
        <v>0</v>
      </c>
      <c r="F24" s="729">
        <v>0</v>
      </c>
      <c r="G24" s="729">
        <v>0</v>
      </c>
      <c r="H24" s="729">
        <v>0</v>
      </c>
      <c r="I24" s="729">
        <v>0</v>
      </c>
      <c r="J24" s="729">
        <v>0</v>
      </c>
      <c r="K24" s="729">
        <v>0</v>
      </c>
    </row>
    <row r="25" spans="1:11" ht="14.4">
      <c r="A25" s="151">
        <v>2.0499999999999998</v>
      </c>
      <c r="B25" s="151" t="s">
        <v>123</v>
      </c>
      <c r="C25" s="729">
        <v>0</v>
      </c>
      <c r="D25" s="729">
        <v>0</v>
      </c>
      <c r="E25" s="729">
        <v>3284</v>
      </c>
      <c r="F25" s="729">
        <v>0</v>
      </c>
      <c r="G25" s="729">
        <v>0</v>
      </c>
      <c r="H25" s="729">
        <v>0</v>
      </c>
      <c r="I25" s="729">
        <v>0</v>
      </c>
      <c r="J25" s="729">
        <v>0</v>
      </c>
      <c r="K25" s="729">
        <v>0</v>
      </c>
    </row>
    <row r="26" spans="1:11" ht="14.4">
      <c r="A26" s="151">
        <v>2.06</v>
      </c>
      <c r="B26" s="151" t="s">
        <v>124</v>
      </c>
      <c r="C26" s="729">
        <v>303657</v>
      </c>
      <c r="D26" s="729">
        <v>295270</v>
      </c>
      <c r="E26" s="729">
        <v>229040</v>
      </c>
      <c r="F26" s="729">
        <v>-0.12596157963069507</v>
      </c>
      <c r="G26" s="729">
        <v>901651</v>
      </c>
      <c r="H26" s="729">
        <v>248691</v>
      </c>
      <c r="I26" s="729">
        <v>248691</v>
      </c>
      <c r="J26" s="729">
        <v>248691</v>
      </c>
      <c r="K26" s="729">
        <v>248691</v>
      </c>
    </row>
    <row r="27" spans="1:11" ht="14.4">
      <c r="A27" s="151">
        <v>2.0699999999999998</v>
      </c>
      <c r="B27" s="151" t="s">
        <v>209</v>
      </c>
      <c r="C27" s="729">
        <v>303657</v>
      </c>
      <c r="D27" s="729">
        <v>310301</v>
      </c>
      <c r="E27" s="729">
        <v>232324</v>
      </c>
      <c r="F27" s="729">
        <v>-0.11470738027221962</v>
      </c>
      <c r="G27" s="729">
        <v>901651</v>
      </c>
      <c r="H27" s="729">
        <v>248691</v>
      </c>
      <c r="I27" s="729">
        <v>248691</v>
      </c>
      <c r="J27" s="729">
        <v>248691</v>
      </c>
      <c r="K27" s="729">
        <v>248691</v>
      </c>
    </row>
    <row r="28" spans="1:11" ht="14.4">
      <c r="A28" s="151">
        <v>2.08</v>
      </c>
      <c r="B28" s="151" t="s">
        <v>125</v>
      </c>
      <c r="C28" s="729">
        <v>34374820</v>
      </c>
      <c r="D28" s="729">
        <v>35126637</v>
      </c>
      <c r="E28" s="729">
        <v>34924401</v>
      </c>
      <c r="F28" s="729">
        <v>8.0569071525657468E-3</v>
      </c>
      <c r="G28" s="729">
        <v>36176123</v>
      </c>
      <c r="H28" s="729">
        <v>36027497</v>
      </c>
      <c r="I28" s="729">
        <v>35077424</v>
      </c>
      <c r="J28" s="729">
        <v>34264550</v>
      </c>
      <c r="K28" s="729">
        <v>34191573</v>
      </c>
    </row>
    <row r="30" spans="1:11">
      <c r="B30" s="151" t="s">
        <v>10</v>
      </c>
    </row>
    <row r="31" spans="1:11" ht="14.4">
      <c r="A31" s="151">
        <v>3.01</v>
      </c>
      <c r="B31" s="151" t="s">
        <v>126</v>
      </c>
      <c r="C31" s="729">
        <v>16099822</v>
      </c>
      <c r="D31" s="729">
        <v>16205353</v>
      </c>
      <c r="E31" s="729">
        <v>16810475</v>
      </c>
      <c r="F31" s="729">
        <v>2.1947832110059514E-2</v>
      </c>
      <c r="G31" s="729">
        <v>17153333</v>
      </c>
      <c r="H31" s="729">
        <v>16541582</v>
      </c>
      <c r="I31" s="729">
        <v>16777577</v>
      </c>
      <c r="J31" s="729">
        <v>17017112</v>
      </c>
      <c r="K31" s="729">
        <v>17260240</v>
      </c>
    </row>
    <row r="32" spans="1:11" ht="14.4">
      <c r="A32" s="151">
        <v>3.02</v>
      </c>
      <c r="B32" s="151" t="s">
        <v>127</v>
      </c>
      <c r="C32" s="729">
        <v>8693332</v>
      </c>
      <c r="D32" s="729">
        <v>9141807</v>
      </c>
      <c r="E32" s="729">
        <v>9594127</v>
      </c>
      <c r="F32" s="729">
        <v>5.0533286423674773E-2</v>
      </c>
      <c r="G32" s="729">
        <v>10061935</v>
      </c>
      <c r="H32" s="729">
        <v>10844841</v>
      </c>
      <c r="I32" s="729">
        <v>11955709</v>
      </c>
      <c r="J32" s="729">
        <v>12599413</v>
      </c>
      <c r="K32" s="729">
        <v>13294531</v>
      </c>
    </row>
    <row r="33" spans="1:11" ht="14.4">
      <c r="A33" s="151">
        <v>3.03</v>
      </c>
      <c r="B33" s="151" t="s">
        <v>281</v>
      </c>
      <c r="C33" s="729">
        <v>6740984</v>
      </c>
      <c r="D33" s="729">
        <v>7217183</v>
      </c>
      <c r="E33" s="729">
        <v>7165014</v>
      </c>
      <c r="F33" s="729">
        <v>3.1706956847568572E-2</v>
      </c>
      <c r="G33" s="729">
        <v>7571058</v>
      </c>
      <c r="H33" s="729">
        <v>7693891</v>
      </c>
      <c r="I33" s="729">
        <v>7720352</v>
      </c>
      <c r="J33" s="729">
        <v>7747377</v>
      </c>
      <c r="K33" s="729">
        <v>7774981</v>
      </c>
    </row>
    <row r="34" spans="1:11" ht="14.4">
      <c r="A34" s="151">
        <v>3.04</v>
      </c>
      <c r="B34" s="151" t="s">
        <v>128</v>
      </c>
      <c r="C34" s="729">
        <v>808170</v>
      </c>
      <c r="D34" s="729">
        <v>914145</v>
      </c>
      <c r="E34" s="729">
        <v>929926</v>
      </c>
      <c r="F34" s="729">
        <v>7.4196357362269372E-2</v>
      </c>
      <c r="G34" s="729">
        <v>821838</v>
      </c>
      <c r="H34" s="729">
        <v>753838</v>
      </c>
      <c r="I34" s="729">
        <v>868838</v>
      </c>
      <c r="J34" s="729">
        <v>868838</v>
      </c>
      <c r="K34" s="729">
        <v>868838</v>
      </c>
    </row>
    <row r="35" spans="1:11" ht="14.4">
      <c r="A35" s="151">
        <v>3.05</v>
      </c>
      <c r="B35" s="151" t="s">
        <v>45</v>
      </c>
      <c r="C35" s="729">
        <v>484633</v>
      </c>
      <c r="D35" s="729">
        <v>615808</v>
      </c>
      <c r="E35" s="729">
        <v>505281</v>
      </c>
      <c r="F35" s="729">
        <v>4.5592921031899949E-2</v>
      </c>
      <c r="G35" s="729">
        <v>224000</v>
      </c>
      <c r="H35" s="729">
        <v>237683</v>
      </c>
      <c r="I35" s="729">
        <v>563890</v>
      </c>
      <c r="J35" s="729">
        <v>565109</v>
      </c>
      <c r="K35" s="729">
        <v>566340</v>
      </c>
    </row>
    <row r="36" spans="1:11">
      <c r="A36" s="151">
        <v>3.06</v>
      </c>
      <c r="B36" s="151" t="s">
        <v>213</v>
      </c>
      <c r="C36" s="151">
        <v>0</v>
      </c>
      <c r="D36" s="151">
        <v>0</v>
      </c>
      <c r="E36" s="151">
        <v>0</v>
      </c>
      <c r="F36" s="151">
        <v>0</v>
      </c>
      <c r="G36" s="151">
        <v>0</v>
      </c>
      <c r="H36" s="151">
        <v>0</v>
      </c>
      <c r="I36" s="151">
        <v>0</v>
      </c>
      <c r="J36" s="151">
        <v>0</v>
      </c>
      <c r="K36" s="151">
        <v>0</v>
      </c>
    </row>
    <row r="37" spans="1:11">
      <c r="B37" s="151" t="s">
        <v>214</v>
      </c>
    </row>
    <row r="38" spans="1:11" ht="14.4">
      <c r="A38" s="151">
        <v>4.01</v>
      </c>
      <c r="B38" s="151" t="s">
        <v>129</v>
      </c>
      <c r="C38" s="727">
        <v>0</v>
      </c>
      <c r="D38" s="727">
        <v>0</v>
      </c>
      <c r="E38" s="727">
        <v>0</v>
      </c>
      <c r="F38" s="727">
        <v>0</v>
      </c>
      <c r="G38" s="727">
        <v>0</v>
      </c>
      <c r="H38" s="727">
        <v>0</v>
      </c>
      <c r="I38" s="727">
        <v>0</v>
      </c>
      <c r="J38" s="727">
        <v>0</v>
      </c>
      <c r="K38" s="727">
        <v>0</v>
      </c>
    </row>
    <row r="39" spans="1:11" ht="14.4">
      <c r="A39" s="151">
        <v>4.0199999999999996</v>
      </c>
      <c r="B39" s="151" t="s">
        <v>130</v>
      </c>
      <c r="C39" s="727">
        <v>0</v>
      </c>
      <c r="D39" s="727">
        <v>0</v>
      </c>
      <c r="E39" s="727">
        <v>0</v>
      </c>
      <c r="F39" s="727">
        <v>0</v>
      </c>
      <c r="G39" s="727">
        <v>0</v>
      </c>
      <c r="H39" s="727">
        <v>0</v>
      </c>
      <c r="I39" s="727">
        <v>0</v>
      </c>
      <c r="J39" s="727">
        <v>0</v>
      </c>
      <c r="K39" s="727">
        <v>0</v>
      </c>
    </row>
    <row r="40" spans="1:11">
      <c r="A40" s="151">
        <v>4.03</v>
      </c>
      <c r="B40" s="151" t="s">
        <v>131</v>
      </c>
      <c r="C40" s="151">
        <v>0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</row>
    <row r="41" spans="1:11">
      <c r="A41" s="151">
        <v>4.04</v>
      </c>
      <c r="B41" s="151" t="s">
        <v>132</v>
      </c>
      <c r="C41" s="151">
        <v>0</v>
      </c>
      <c r="D41" s="151">
        <v>0</v>
      </c>
      <c r="E41" s="151">
        <v>0</v>
      </c>
      <c r="F41" s="151">
        <v>0</v>
      </c>
      <c r="G41" s="151">
        <v>0</v>
      </c>
      <c r="H41" s="151">
        <v>0</v>
      </c>
      <c r="I41" s="151">
        <v>0</v>
      </c>
      <c r="J41" s="151">
        <v>0</v>
      </c>
      <c r="K41" s="151">
        <v>0</v>
      </c>
    </row>
    <row r="42" spans="1:11" ht="14.4">
      <c r="A42" s="151">
        <v>4.05</v>
      </c>
      <c r="B42" s="151" t="s">
        <v>133</v>
      </c>
      <c r="C42" s="727">
        <v>0</v>
      </c>
      <c r="D42" s="727">
        <v>0</v>
      </c>
      <c r="E42" s="727">
        <v>0</v>
      </c>
      <c r="F42" s="727">
        <v>0</v>
      </c>
      <c r="G42" s="727">
        <v>0</v>
      </c>
      <c r="H42" s="727">
        <v>0</v>
      </c>
      <c r="I42" s="727">
        <v>0</v>
      </c>
      <c r="J42" s="727">
        <v>0</v>
      </c>
      <c r="K42" s="727">
        <v>0</v>
      </c>
    </row>
    <row r="43" spans="1:11" ht="14.4">
      <c r="A43" s="151">
        <v>4.0549999999999997</v>
      </c>
      <c r="B43" s="151" t="s">
        <v>134</v>
      </c>
      <c r="C43" s="727">
        <v>0</v>
      </c>
      <c r="D43" s="727">
        <v>0</v>
      </c>
      <c r="E43" s="727">
        <v>0</v>
      </c>
      <c r="F43" s="727">
        <v>0</v>
      </c>
      <c r="G43" s="727">
        <v>0</v>
      </c>
      <c r="H43" s="727">
        <v>0</v>
      </c>
      <c r="I43" s="727">
        <v>0</v>
      </c>
      <c r="J43" s="727">
        <v>0</v>
      </c>
      <c r="K43" s="727">
        <v>0</v>
      </c>
    </row>
    <row r="44" spans="1:11" ht="14.4">
      <c r="A44" s="151">
        <v>4.0599999999999996</v>
      </c>
      <c r="B44" s="151" t="s">
        <v>135</v>
      </c>
      <c r="C44" s="727">
        <v>0</v>
      </c>
      <c r="D44" s="727">
        <v>0</v>
      </c>
      <c r="E44" s="727">
        <v>0</v>
      </c>
      <c r="F44" s="727">
        <v>0</v>
      </c>
      <c r="G44" s="727">
        <v>0</v>
      </c>
      <c r="H44" s="727">
        <v>0</v>
      </c>
      <c r="I44" s="727">
        <v>0</v>
      </c>
      <c r="J44" s="727">
        <v>0</v>
      </c>
      <c r="K44" s="727">
        <v>0</v>
      </c>
    </row>
    <row r="45" spans="1:11" ht="14.4">
      <c r="A45" s="151">
        <v>4.3</v>
      </c>
      <c r="B45" s="151" t="s">
        <v>136</v>
      </c>
      <c r="C45" s="729">
        <v>387271</v>
      </c>
      <c r="D45" s="729">
        <v>348692</v>
      </c>
      <c r="E45" s="729">
        <v>385425</v>
      </c>
      <c r="F45" s="729">
        <v>2.863768936962649E-3</v>
      </c>
      <c r="G45" s="729">
        <v>374548</v>
      </c>
      <c r="H45" s="729">
        <v>378293</v>
      </c>
      <c r="I45" s="729">
        <v>382076</v>
      </c>
      <c r="J45" s="729">
        <v>385897</v>
      </c>
      <c r="K45" s="729">
        <v>389755</v>
      </c>
    </row>
    <row r="46" spans="1:11" ht="14.4">
      <c r="A46" s="151">
        <v>4.5</v>
      </c>
      <c r="B46" s="151" t="s">
        <v>137</v>
      </c>
      <c r="C46" s="729">
        <v>33214212</v>
      </c>
      <c r="D46" s="729">
        <v>34442988</v>
      </c>
      <c r="E46" s="729">
        <v>35390248</v>
      </c>
      <c r="F46" s="729">
        <v>3.2248874116961229E-2</v>
      </c>
      <c r="G46" s="729">
        <v>36206712</v>
      </c>
      <c r="H46" s="729">
        <v>36450128</v>
      </c>
      <c r="I46" s="729">
        <v>38268442</v>
      </c>
      <c r="J46" s="729">
        <v>39183746</v>
      </c>
      <c r="K46" s="729">
        <v>40154685</v>
      </c>
    </row>
    <row r="48" spans="1:11">
      <c r="B48" s="151" t="s">
        <v>138</v>
      </c>
    </row>
    <row r="49" spans="1:11" ht="14.4">
      <c r="A49" s="151">
        <v>5.01</v>
      </c>
      <c r="B49" s="151" t="s">
        <v>139</v>
      </c>
      <c r="C49" s="729">
        <v>35000</v>
      </c>
      <c r="D49" s="729">
        <v>35000</v>
      </c>
      <c r="E49" s="729">
        <v>35000</v>
      </c>
      <c r="F49" s="729">
        <v>0</v>
      </c>
      <c r="G49" s="729">
        <v>35000</v>
      </c>
      <c r="H49" s="729">
        <v>35000</v>
      </c>
      <c r="I49" s="729">
        <v>35000</v>
      </c>
      <c r="J49" s="729">
        <v>35000</v>
      </c>
      <c r="K49" s="729">
        <v>35000</v>
      </c>
    </row>
    <row r="50" spans="1:11" ht="14.4">
      <c r="A50" s="151">
        <v>5.0199999999999996</v>
      </c>
      <c r="B50" s="151" t="s">
        <v>140</v>
      </c>
      <c r="C50" s="729">
        <v>0</v>
      </c>
      <c r="D50" s="729">
        <v>3284</v>
      </c>
      <c r="E50" s="729">
        <v>0</v>
      </c>
      <c r="F50" s="729">
        <v>0</v>
      </c>
      <c r="G50" s="729">
        <v>0</v>
      </c>
      <c r="H50" s="729">
        <v>0</v>
      </c>
      <c r="I50" s="729">
        <v>0</v>
      </c>
      <c r="J50" s="729">
        <v>0</v>
      </c>
      <c r="K50" s="729">
        <v>0</v>
      </c>
    </row>
    <row r="51" spans="1:11" ht="14.4">
      <c r="A51" s="151">
        <v>5.03</v>
      </c>
      <c r="B51" s="151" t="s">
        <v>215</v>
      </c>
      <c r="C51" s="729">
        <v>0</v>
      </c>
      <c r="D51" s="729">
        <v>0</v>
      </c>
      <c r="E51" s="729">
        <v>0</v>
      </c>
      <c r="F51" s="729">
        <v>0</v>
      </c>
      <c r="G51" s="729">
        <v>0</v>
      </c>
      <c r="H51" s="729">
        <v>0</v>
      </c>
      <c r="I51" s="729">
        <v>0</v>
      </c>
      <c r="J51" s="729">
        <v>0</v>
      </c>
      <c r="K51" s="729">
        <v>0</v>
      </c>
    </row>
    <row r="52" spans="1:11" ht="14.4">
      <c r="A52" s="151">
        <v>5.04</v>
      </c>
      <c r="B52" s="151" t="s">
        <v>216</v>
      </c>
      <c r="C52" s="729">
        <v>35000</v>
      </c>
      <c r="D52" s="729">
        <v>38284</v>
      </c>
      <c r="E52" s="729">
        <v>35000</v>
      </c>
      <c r="F52" s="729">
        <v>4.0243055659208646E-3</v>
      </c>
      <c r="G52" s="729">
        <v>35000</v>
      </c>
      <c r="H52" s="729">
        <v>35000</v>
      </c>
      <c r="I52" s="729">
        <v>35000</v>
      </c>
      <c r="J52" s="729">
        <v>35000</v>
      </c>
      <c r="K52" s="729">
        <v>35000</v>
      </c>
    </row>
    <row r="53" spans="1:11" ht="14.4">
      <c r="A53" s="151">
        <v>5.05</v>
      </c>
      <c r="B53" s="151" t="s">
        <v>217</v>
      </c>
      <c r="C53" s="729">
        <v>33249212</v>
      </c>
      <c r="D53" s="729">
        <v>34481272</v>
      </c>
      <c r="E53" s="729">
        <v>35425248</v>
      </c>
      <c r="F53" s="729">
        <v>3.221589926415095E-2</v>
      </c>
      <c r="G53" s="729">
        <v>36241712</v>
      </c>
      <c r="H53" s="729">
        <v>36485128</v>
      </c>
      <c r="I53" s="729">
        <v>38303442</v>
      </c>
      <c r="J53" s="729">
        <v>39218746</v>
      </c>
      <c r="K53" s="729">
        <v>40189685</v>
      </c>
    </row>
    <row r="54" spans="1:11" ht="14.4">
      <c r="C54" s="729"/>
      <c r="D54" s="729"/>
      <c r="E54" s="729"/>
      <c r="F54" s="729"/>
      <c r="G54" s="729"/>
      <c r="H54" s="729"/>
      <c r="I54" s="729"/>
      <c r="J54" s="729"/>
      <c r="K54" s="729"/>
    </row>
    <row r="55" spans="1:11" ht="14.4">
      <c r="A55" s="151">
        <v>6.01</v>
      </c>
      <c r="B55" s="151" t="s">
        <v>141</v>
      </c>
      <c r="C55" s="729">
        <v>1125608</v>
      </c>
      <c r="D55" s="729">
        <v>645365</v>
      </c>
      <c r="E55" s="729">
        <v>-500847</v>
      </c>
      <c r="F55" s="729">
        <v>-1.1013599457538659</v>
      </c>
      <c r="G55" s="729">
        <v>-65589</v>
      </c>
      <c r="H55" s="729">
        <v>-457631</v>
      </c>
      <c r="I55" s="729">
        <v>-3226018</v>
      </c>
      <c r="J55" s="729">
        <v>-4954196</v>
      </c>
      <c r="K55" s="729">
        <v>-5998112</v>
      </c>
    </row>
    <row r="57" spans="1:11" ht="14.4">
      <c r="A57" s="151">
        <v>7.01</v>
      </c>
      <c r="B57" s="151" t="s">
        <v>142</v>
      </c>
      <c r="C57" s="729">
        <v>5259175</v>
      </c>
      <c r="D57" s="729">
        <v>6384783</v>
      </c>
      <c r="E57" s="729">
        <v>7030148</v>
      </c>
      <c r="F57" s="729">
        <v>0.15755304837086867</v>
      </c>
      <c r="G57" s="729">
        <v>6529301</v>
      </c>
      <c r="H57" s="729">
        <v>6463712</v>
      </c>
      <c r="I57" s="729">
        <v>6006081</v>
      </c>
      <c r="J57" s="729">
        <v>2780063</v>
      </c>
      <c r="K57" s="729">
        <v>-2174133</v>
      </c>
    </row>
    <row r="58" spans="1:11">
      <c r="F58" s="151">
        <v>0</v>
      </c>
    </row>
    <row r="59" spans="1:11" ht="14.4">
      <c r="A59" s="151">
        <v>7.02</v>
      </c>
      <c r="B59" s="151" t="s">
        <v>143</v>
      </c>
      <c r="C59" s="729">
        <v>6384783</v>
      </c>
      <c r="D59" s="729">
        <v>7030148</v>
      </c>
      <c r="E59" s="729">
        <v>6529301</v>
      </c>
      <c r="F59" s="729">
        <v>1.4917936156779291E-2</v>
      </c>
      <c r="G59" s="729">
        <v>6463712</v>
      </c>
      <c r="H59" s="729">
        <v>6006081</v>
      </c>
      <c r="I59" s="729">
        <v>2780063</v>
      </c>
      <c r="J59" s="729">
        <v>-2174133</v>
      </c>
      <c r="K59" s="729">
        <v>-8172245</v>
      </c>
    </row>
    <row r="61" spans="1:11" ht="14.4">
      <c r="A61" s="151">
        <v>8.01</v>
      </c>
      <c r="B61" s="151" t="s">
        <v>144</v>
      </c>
      <c r="C61" s="728">
        <v>0</v>
      </c>
      <c r="D61" s="728">
        <v>0</v>
      </c>
      <c r="E61" s="728">
        <v>0</v>
      </c>
      <c r="F61" s="728">
        <v>0</v>
      </c>
      <c r="G61" s="728">
        <v>0</v>
      </c>
      <c r="H61" s="728">
        <v>0</v>
      </c>
      <c r="I61" s="728">
        <v>0</v>
      </c>
      <c r="J61" s="728">
        <v>0</v>
      </c>
      <c r="K61" s="728">
        <v>0</v>
      </c>
    </row>
    <row r="63" spans="1:11">
      <c r="B63" s="151" t="s">
        <v>145</v>
      </c>
    </row>
    <row r="64" spans="1:11" ht="14.4">
      <c r="A64" s="151">
        <v>9.01</v>
      </c>
      <c r="B64" s="151" t="s">
        <v>146</v>
      </c>
      <c r="C64" s="727">
        <v>0</v>
      </c>
      <c r="D64" s="727">
        <v>0</v>
      </c>
      <c r="E64" s="727">
        <v>0</v>
      </c>
      <c r="F64" s="727">
        <v>0</v>
      </c>
      <c r="G64" s="727">
        <v>0</v>
      </c>
      <c r="H64" s="727">
        <v>0</v>
      </c>
      <c r="I64" s="727">
        <v>0</v>
      </c>
      <c r="J64" s="727">
        <v>0</v>
      </c>
      <c r="K64" s="727">
        <v>0</v>
      </c>
    </row>
    <row r="65" spans="1:11" ht="14.4">
      <c r="A65" s="151">
        <v>9.02</v>
      </c>
      <c r="B65" s="151" t="s">
        <v>147</v>
      </c>
      <c r="C65" s="726">
        <v>0</v>
      </c>
      <c r="D65" s="726">
        <v>0</v>
      </c>
      <c r="E65" s="726">
        <v>0</v>
      </c>
      <c r="F65" s="726">
        <v>0</v>
      </c>
      <c r="G65" s="726">
        <v>0</v>
      </c>
      <c r="H65" s="726">
        <v>0</v>
      </c>
      <c r="I65" s="726">
        <v>0</v>
      </c>
      <c r="J65" s="726">
        <v>0</v>
      </c>
      <c r="K65" s="726">
        <v>0</v>
      </c>
    </row>
    <row r="66" spans="1:11" ht="14.4">
      <c r="A66" s="151">
        <v>9.0299999999999994</v>
      </c>
      <c r="B66" s="151" t="s">
        <v>148</v>
      </c>
      <c r="C66" s="726">
        <v>0</v>
      </c>
      <c r="D66" s="726">
        <v>0</v>
      </c>
      <c r="E66" s="726">
        <v>0</v>
      </c>
      <c r="F66" s="726">
        <v>0</v>
      </c>
      <c r="G66" s="726">
        <v>0</v>
      </c>
      <c r="H66" s="726">
        <v>0</v>
      </c>
      <c r="I66" s="726">
        <v>0</v>
      </c>
      <c r="J66" s="726">
        <v>0</v>
      </c>
      <c r="K66" s="726">
        <v>0</v>
      </c>
    </row>
    <row r="67" spans="1:11">
      <c r="A67" s="151">
        <v>9.0399999999999991</v>
      </c>
      <c r="B67" s="151" t="s">
        <v>149</v>
      </c>
      <c r="C67" s="151">
        <v>0</v>
      </c>
      <c r="D67" s="151">
        <v>0</v>
      </c>
      <c r="E67" s="151">
        <v>0</v>
      </c>
      <c r="F67" s="151">
        <v>0</v>
      </c>
      <c r="G67" s="151">
        <v>0</v>
      </c>
      <c r="H67" s="151">
        <v>0</v>
      </c>
      <c r="I67" s="151">
        <v>0</v>
      </c>
      <c r="J67" s="151">
        <v>0</v>
      </c>
      <c r="K67" s="151">
        <v>0</v>
      </c>
    </row>
    <row r="68" spans="1:11">
      <c r="A68" s="151">
        <v>9.0449999999999999</v>
      </c>
      <c r="B68" s="151" t="s">
        <v>150</v>
      </c>
      <c r="C68" s="151">
        <v>0</v>
      </c>
      <c r="D68" s="151">
        <v>0</v>
      </c>
      <c r="E68" s="151">
        <v>0</v>
      </c>
      <c r="F68" s="151">
        <v>0</v>
      </c>
      <c r="G68" s="151">
        <v>0</v>
      </c>
      <c r="H68" s="151">
        <v>0</v>
      </c>
      <c r="I68" s="151">
        <v>0</v>
      </c>
      <c r="J68" s="151">
        <v>0</v>
      </c>
      <c r="K68" s="151">
        <v>0</v>
      </c>
    </row>
    <row r="69" spans="1:11">
      <c r="A69" s="151">
        <v>9.0500000000000007</v>
      </c>
      <c r="B69" s="151" t="s">
        <v>151</v>
      </c>
      <c r="C69" s="151">
        <v>0</v>
      </c>
      <c r="D69" s="151">
        <v>0</v>
      </c>
      <c r="E69" s="151">
        <v>0</v>
      </c>
      <c r="F69" s="151">
        <v>0</v>
      </c>
      <c r="G69" s="151">
        <v>0</v>
      </c>
      <c r="H69" s="151">
        <v>0</v>
      </c>
      <c r="I69" s="151">
        <v>0</v>
      </c>
      <c r="J69" s="151">
        <v>0</v>
      </c>
      <c r="K69" s="151">
        <v>0</v>
      </c>
    </row>
    <row r="70" spans="1:11">
      <c r="A70" s="151">
        <v>9.06</v>
      </c>
      <c r="B70" s="151" t="s">
        <v>152</v>
      </c>
      <c r="C70" s="151">
        <v>0</v>
      </c>
      <c r="D70" s="151">
        <v>0</v>
      </c>
      <c r="E70" s="151">
        <v>0</v>
      </c>
      <c r="F70" s="151">
        <v>0</v>
      </c>
      <c r="G70" s="151">
        <v>0</v>
      </c>
      <c r="H70" s="151">
        <v>0</v>
      </c>
      <c r="I70" s="151">
        <v>0</v>
      </c>
      <c r="J70" s="151">
        <v>0</v>
      </c>
      <c r="K70" s="151">
        <v>0</v>
      </c>
    </row>
    <row r="71" spans="1:11" ht="14.4">
      <c r="A71" s="151">
        <v>9.07</v>
      </c>
      <c r="B71" s="151" t="s">
        <v>153</v>
      </c>
      <c r="C71" s="727">
        <v>0</v>
      </c>
      <c r="D71" s="727">
        <v>0</v>
      </c>
      <c r="E71" s="727">
        <v>0</v>
      </c>
      <c r="F71" s="727">
        <v>0</v>
      </c>
      <c r="G71" s="727">
        <v>0</v>
      </c>
      <c r="H71" s="727">
        <v>0</v>
      </c>
      <c r="I71" s="727">
        <v>0</v>
      </c>
      <c r="J71" s="727">
        <v>0</v>
      </c>
      <c r="K71" s="727">
        <v>0</v>
      </c>
    </row>
    <row r="72" spans="1:11" ht="14.4">
      <c r="A72" s="151">
        <v>9.08</v>
      </c>
      <c r="B72" s="151" t="s">
        <v>154</v>
      </c>
      <c r="C72" s="727">
        <v>0</v>
      </c>
      <c r="D72" s="727">
        <v>0</v>
      </c>
      <c r="E72" s="727">
        <v>0</v>
      </c>
      <c r="F72" s="727">
        <v>0</v>
      </c>
      <c r="G72" s="727">
        <v>0</v>
      </c>
      <c r="H72" s="727">
        <v>0</v>
      </c>
      <c r="I72" s="727">
        <v>0</v>
      </c>
      <c r="J72" s="727">
        <v>0</v>
      </c>
      <c r="K72" s="727">
        <v>0</v>
      </c>
    </row>
    <row r="73" spans="1:11" ht="14.4">
      <c r="C73" s="729"/>
      <c r="D73" s="729"/>
      <c r="E73" s="729"/>
      <c r="F73" s="729"/>
      <c r="G73" s="729"/>
      <c r="H73" s="729"/>
      <c r="I73" s="729"/>
      <c r="J73" s="729"/>
      <c r="K73" s="729"/>
    </row>
    <row r="74" spans="1:11">
      <c r="A74" s="151">
        <v>10.01</v>
      </c>
      <c r="B74" s="151" t="s">
        <v>155</v>
      </c>
      <c r="C74" s="151">
        <v>6384783</v>
      </c>
      <c r="D74" s="151">
        <v>7030148</v>
      </c>
      <c r="E74" s="151">
        <v>6529301</v>
      </c>
      <c r="F74" s="151">
        <v>1.4917936156779291E-2</v>
      </c>
      <c r="G74" s="151">
        <v>6463712</v>
      </c>
      <c r="H74" s="151">
        <v>6006081</v>
      </c>
      <c r="I74" s="151">
        <v>2780063</v>
      </c>
      <c r="J74" s="151">
        <v>-2174133</v>
      </c>
      <c r="K74" s="151">
        <v>-8172245</v>
      </c>
    </row>
    <row r="76" spans="1:11">
      <c r="B76" s="151" t="s">
        <v>156</v>
      </c>
    </row>
    <row r="77" spans="1:11" ht="14.4">
      <c r="A77" s="151">
        <v>11.01</v>
      </c>
      <c r="B77" s="151" t="s">
        <v>157</v>
      </c>
      <c r="C77" s="151">
        <v>0</v>
      </c>
      <c r="D77" s="151">
        <v>0</v>
      </c>
      <c r="E77" s="151">
        <v>0</v>
      </c>
      <c r="F77" s="151">
        <v>0</v>
      </c>
      <c r="G77" s="151">
        <v>0</v>
      </c>
      <c r="H77" s="151">
        <v>0</v>
      </c>
      <c r="I77" s="151">
        <v>0</v>
      </c>
      <c r="J77" s="729">
        <v>0</v>
      </c>
      <c r="K77" s="729">
        <v>0</v>
      </c>
    </row>
    <row r="78" spans="1:11">
      <c r="A78" s="151">
        <v>11.02</v>
      </c>
      <c r="B78" s="151" t="s">
        <v>158</v>
      </c>
      <c r="C78" s="151">
        <v>0</v>
      </c>
      <c r="D78" s="151">
        <v>0</v>
      </c>
      <c r="E78" s="151">
        <v>0</v>
      </c>
      <c r="F78" s="151">
        <v>0</v>
      </c>
      <c r="G78" s="151">
        <v>0</v>
      </c>
      <c r="H78" s="151">
        <v>0</v>
      </c>
      <c r="I78" s="151">
        <v>903671</v>
      </c>
      <c r="J78" s="151">
        <v>1785476</v>
      </c>
      <c r="K78" s="151">
        <v>1785476</v>
      </c>
    </row>
    <row r="79" spans="1:11" ht="14.4">
      <c r="J79" s="729"/>
      <c r="K79" s="729"/>
    </row>
    <row r="80" spans="1:11" ht="14.4">
      <c r="A80" s="151">
        <v>11.3</v>
      </c>
      <c r="B80" s="151" t="s">
        <v>159</v>
      </c>
      <c r="C80" s="729">
        <v>0</v>
      </c>
      <c r="D80" s="729">
        <v>0</v>
      </c>
      <c r="E80" s="729">
        <v>0</v>
      </c>
      <c r="F80" s="729">
        <v>0</v>
      </c>
      <c r="G80" s="729">
        <v>0</v>
      </c>
      <c r="H80" s="729">
        <v>0</v>
      </c>
      <c r="I80" s="729">
        <v>903671</v>
      </c>
      <c r="J80" s="729">
        <v>2689147</v>
      </c>
      <c r="K80" s="729">
        <v>4474623</v>
      </c>
    </row>
    <row r="82" spans="1:11">
      <c r="A82" s="151">
        <v>12.01</v>
      </c>
      <c r="B82" s="151" t="s">
        <v>160</v>
      </c>
      <c r="C82" s="151">
        <v>6384783</v>
      </c>
      <c r="D82" s="151">
        <v>7030148</v>
      </c>
      <c r="E82" s="151">
        <v>6529301</v>
      </c>
      <c r="F82" s="151">
        <v>1.4917936156779291E-2</v>
      </c>
      <c r="G82" s="151">
        <v>6463712</v>
      </c>
      <c r="H82" s="151">
        <v>6006081</v>
      </c>
      <c r="I82" s="151">
        <v>3683734</v>
      </c>
      <c r="J82" s="151">
        <v>515014</v>
      </c>
      <c r="K82" s="151">
        <v>-3697622</v>
      </c>
    </row>
    <row r="84" spans="1:11">
      <c r="B84" s="151" t="s">
        <v>161</v>
      </c>
    </row>
    <row r="85" spans="1:11">
      <c r="A85" s="151">
        <v>13.01</v>
      </c>
      <c r="B85" s="151" t="s">
        <v>162</v>
      </c>
      <c r="C85" s="151">
        <v>0</v>
      </c>
      <c r="D85" s="151">
        <v>0</v>
      </c>
      <c r="E85" s="151">
        <v>0</v>
      </c>
      <c r="F85" s="151">
        <v>0</v>
      </c>
      <c r="G85" s="151">
        <v>0</v>
      </c>
      <c r="H85" s="151">
        <v>0</v>
      </c>
      <c r="I85" s="151">
        <v>0</v>
      </c>
      <c r="J85" s="151">
        <v>0</v>
      </c>
      <c r="K85" s="151">
        <v>0</v>
      </c>
    </row>
    <row r="86" spans="1:11">
      <c r="A86" s="151">
        <v>13.02</v>
      </c>
      <c r="B86" s="151" t="s">
        <v>163</v>
      </c>
      <c r="C86" s="151">
        <v>0</v>
      </c>
      <c r="D86" s="151">
        <v>0</v>
      </c>
      <c r="E86" s="151">
        <v>0</v>
      </c>
      <c r="F86" s="151">
        <v>0</v>
      </c>
      <c r="G86" s="151">
        <v>0</v>
      </c>
      <c r="H86" s="151">
        <v>0</v>
      </c>
      <c r="I86" s="151">
        <v>0</v>
      </c>
      <c r="J86" s="151">
        <v>0</v>
      </c>
      <c r="K86" s="151">
        <v>0</v>
      </c>
    </row>
    <row r="88" spans="1:11">
      <c r="A88" s="151">
        <v>13.03</v>
      </c>
      <c r="B88" s="151" t="s">
        <v>164</v>
      </c>
      <c r="C88" s="151">
        <v>0</v>
      </c>
      <c r="D88" s="151">
        <v>0</v>
      </c>
      <c r="E88" s="151">
        <v>0</v>
      </c>
      <c r="F88" s="151">
        <v>0</v>
      </c>
      <c r="G88" s="151">
        <v>0</v>
      </c>
      <c r="H88" s="151">
        <v>0</v>
      </c>
      <c r="I88" s="151">
        <v>0</v>
      </c>
      <c r="J88" s="151">
        <v>0</v>
      </c>
      <c r="K88" s="151">
        <v>0</v>
      </c>
    </row>
    <row r="90" spans="1:11" ht="14.4">
      <c r="A90" s="151">
        <v>14.01</v>
      </c>
      <c r="B90" s="151" t="s">
        <v>165</v>
      </c>
      <c r="C90" s="729">
        <v>0</v>
      </c>
      <c r="D90" s="729">
        <v>0</v>
      </c>
      <c r="E90" s="729">
        <v>0</v>
      </c>
      <c r="F90" s="729">
        <v>0</v>
      </c>
      <c r="G90" s="729">
        <v>0</v>
      </c>
      <c r="H90" s="729">
        <v>0</v>
      </c>
      <c r="I90" s="729">
        <v>0</v>
      </c>
      <c r="J90" s="729">
        <v>0</v>
      </c>
      <c r="K90" s="729">
        <v>0</v>
      </c>
    </row>
    <row r="92" spans="1:11">
      <c r="A92" s="151">
        <v>15.01</v>
      </c>
      <c r="B92" s="151" t="s">
        <v>166</v>
      </c>
      <c r="C92" s="151">
        <v>6384783</v>
      </c>
      <c r="D92" s="151">
        <v>7030148</v>
      </c>
      <c r="E92" s="151">
        <v>6529301</v>
      </c>
      <c r="F92" s="151">
        <v>1.4917936156779291E-2</v>
      </c>
      <c r="G92" s="151">
        <v>6463712</v>
      </c>
      <c r="H92" s="151">
        <v>6006081</v>
      </c>
      <c r="I92" s="151">
        <v>3683734</v>
      </c>
      <c r="J92" s="151">
        <v>515014</v>
      </c>
      <c r="K92" s="151">
        <v>-3697622</v>
      </c>
    </row>
    <row r="94" spans="1:11">
      <c r="B94" s="151" t="s">
        <v>1012</v>
      </c>
    </row>
    <row r="95" spans="1:11">
      <c r="A95" s="151">
        <v>20.010000000000002</v>
      </c>
      <c r="B95" s="151" t="s">
        <v>1013</v>
      </c>
      <c r="C95" s="151">
        <v>0</v>
      </c>
      <c r="D95" s="151">
        <v>0</v>
      </c>
      <c r="E95" s="151">
        <v>0</v>
      </c>
      <c r="F95" s="151">
        <v>0</v>
      </c>
      <c r="G95" s="151">
        <v>0</v>
      </c>
      <c r="H95" s="151">
        <v>0</v>
      </c>
      <c r="I95" s="151">
        <v>0</v>
      </c>
      <c r="J95" s="151">
        <v>0</v>
      </c>
      <c r="K95" s="151">
        <v>0</v>
      </c>
    </row>
    <row r="96" spans="1:11">
      <c r="A96" s="151">
        <v>20.015000000000001</v>
      </c>
      <c r="B96" s="151" t="s">
        <v>1014</v>
      </c>
      <c r="C96" s="151">
        <v>0</v>
      </c>
      <c r="D96" s="151">
        <v>0</v>
      </c>
      <c r="E96" s="151">
        <v>0</v>
      </c>
      <c r="F96" s="151">
        <v>0</v>
      </c>
      <c r="G96" s="151">
        <v>0</v>
      </c>
      <c r="H96" s="151">
        <v>0</v>
      </c>
      <c r="I96" s="151">
        <v>0</v>
      </c>
      <c r="J96" s="151">
        <v>0</v>
      </c>
      <c r="K96" s="151">
        <v>0</v>
      </c>
    </row>
    <row r="97" spans="1:2">
      <c r="B97" s="151" t="s">
        <v>1015</v>
      </c>
    </row>
    <row r="98" spans="1:2">
      <c r="A98" s="151">
        <v>21.01</v>
      </c>
      <c r="B98" s="151" t="s">
        <v>1016</v>
      </c>
    </row>
    <row r="99" spans="1:2">
      <c r="A99" s="151">
        <v>21.02</v>
      </c>
      <c r="B99" s="151" t="s">
        <v>1017</v>
      </c>
    </row>
    <row r="100" spans="1:2">
      <c r="A100" s="151">
        <v>21.03</v>
      </c>
      <c r="B100" s="151" t="s">
        <v>1018</v>
      </c>
    </row>
    <row r="101" spans="1:2">
      <c r="A101" s="151">
        <v>21.04</v>
      </c>
      <c r="B101" s="151" t="s">
        <v>1019</v>
      </c>
    </row>
    <row r="102" spans="1:2">
      <c r="A102" s="151">
        <v>21.05</v>
      </c>
      <c r="B102" s="151" t="s">
        <v>1020</v>
      </c>
    </row>
    <row r="103" spans="1:2">
      <c r="A103" s="151">
        <v>21.06</v>
      </c>
      <c r="B103" s="151" t="s">
        <v>1021</v>
      </c>
    </row>
    <row r="106" spans="1:2">
      <c r="B106" s="151" t="s">
        <v>1022</v>
      </c>
    </row>
    <row r="107" spans="1:2">
      <c r="B107" s="151" t="s">
        <v>1023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R113"/>
  <sheetViews>
    <sheetView showGridLines="0" tabSelected="1" topLeftCell="A28" zoomScaleNormal="100" workbookViewId="0"/>
  </sheetViews>
  <sheetFormatPr defaultRowHeight="13.2"/>
  <cols>
    <col min="1" max="1" width="5.33203125" style="151" customWidth="1"/>
    <col min="2" max="2" width="8.44140625" customWidth="1"/>
    <col min="3" max="3" width="66" customWidth="1"/>
    <col min="4" max="4" width="15.33203125" style="44" customWidth="1"/>
    <col min="5" max="6" width="15.33203125" style="151" customWidth="1"/>
    <col min="7" max="7" width="10" style="151" customWidth="1"/>
    <col min="8" max="12" width="15.33203125" customWidth="1"/>
    <col min="13" max="13" width="2" customWidth="1"/>
  </cols>
  <sheetData>
    <row r="1" spans="2:13" ht="22.8">
      <c r="B1" s="1" t="str">
        <f>+Cover!D58</f>
        <v>Madison Local School District</v>
      </c>
      <c r="C1" s="1039"/>
      <c r="D1" s="1040"/>
      <c r="E1" s="1040"/>
      <c r="F1" s="1040"/>
      <c r="G1" s="1040"/>
      <c r="H1" s="2"/>
      <c r="I1" s="3"/>
      <c r="J1" s="2"/>
      <c r="K1" s="2"/>
      <c r="L1" s="2"/>
      <c r="M1" s="4"/>
    </row>
    <row r="2" spans="2:13" ht="15.6">
      <c r="B2" s="1042" t="str">
        <f>+Cover!D59&amp;" County"</f>
        <v>Richland County</v>
      </c>
      <c r="C2" s="6"/>
      <c r="D2" s="1043"/>
      <c r="E2" s="1043"/>
      <c r="F2" s="1043"/>
      <c r="G2" s="1043"/>
      <c r="H2" s="6"/>
      <c r="I2" s="2"/>
      <c r="J2" s="2"/>
      <c r="K2" s="2"/>
      <c r="L2" s="2"/>
      <c r="M2" s="4"/>
    </row>
    <row r="3" spans="2:13" ht="13.8">
      <c r="B3" s="1045" t="s">
        <v>87</v>
      </c>
      <c r="C3" s="1045"/>
      <c r="D3" s="1045"/>
      <c r="E3" s="1045"/>
      <c r="F3" s="1045"/>
      <c r="G3" s="1045"/>
      <c r="H3" s="1045"/>
      <c r="I3" s="1045"/>
      <c r="J3" s="1045"/>
      <c r="K3" s="1045"/>
      <c r="L3" s="1045"/>
      <c r="M3" s="4"/>
    </row>
    <row r="4" spans="2:13" ht="13.8">
      <c r="B4" s="1045" t="str">
        <f>"For the Fiscal Years Ended June 30, "&amp;Cover!A51&amp;", "&amp;Cover!A50&amp;" and "&amp;Cover!A49&amp;" Actual;"</f>
        <v>For the Fiscal Years Ended June 30, 2019, 2020 and 2021 Actual;</v>
      </c>
      <c r="C4" s="1045"/>
      <c r="D4" s="1045"/>
      <c r="E4" s="1045"/>
      <c r="F4" s="1045"/>
      <c r="G4" s="1045"/>
      <c r="H4" s="1045"/>
      <c r="I4" s="1045"/>
      <c r="J4" s="1045"/>
      <c r="K4" s="1045"/>
      <c r="L4" s="1045"/>
      <c r="M4" s="4"/>
    </row>
    <row r="5" spans="2:13" ht="13.8">
      <c r="B5" s="1045" t="str">
        <f>"Forecasted Fiscal Years Ending June 30, "&amp;Cover!A47&amp;" Through "&amp;Cover!E47</f>
        <v>Forecasted Fiscal Years Ending June 30, 2022 Through 2026</v>
      </c>
      <c r="C5" s="1045"/>
      <c r="D5" s="1045"/>
      <c r="E5" s="1045"/>
      <c r="F5" s="1045"/>
      <c r="G5" s="1045"/>
      <c r="H5" s="1045"/>
      <c r="I5" s="1046"/>
      <c r="J5" s="1045"/>
      <c r="K5" s="1045"/>
      <c r="L5" s="1045"/>
      <c r="M5" s="4"/>
    </row>
    <row r="6" spans="2:13" ht="15.6">
      <c r="B6" s="1057"/>
      <c r="C6" s="6"/>
      <c r="D6" s="6"/>
      <c r="E6" s="6"/>
      <c r="F6" s="6"/>
      <c r="G6" s="6"/>
      <c r="H6" s="6"/>
      <c r="I6" s="6"/>
      <c r="J6" s="6"/>
      <c r="K6" s="6"/>
      <c r="L6" s="6"/>
      <c r="M6" s="4"/>
    </row>
    <row r="7" spans="2:13" ht="16.2" thickBot="1">
      <c r="B7" s="1058"/>
      <c r="C7" s="1059"/>
      <c r="D7" s="1060" t="s">
        <v>300</v>
      </c>
      <c r="E7" s="1061"/>
      <c r="F7" s="1062"/>
      <c r="G7" s="1063"/>
      <c r="H7" s="1064" t="s">
        <v>88</v>
      </c>
      <c r="I7" s="1065"/>
      <c r="J7" s="1065"/>
      <c r="K7" s="1065"/>
      <c r="L7" s="1066"/>
      <c r="M7" s="4"/>
    </row>
    <row r="8" spans="2:13" ht="15">
      <c r="B8" s="1067" t="s">
        <v>250</v>
      </c>
      <c r="C8" s="1068"/>
      <c r="D8" s="1069" t="s">
        <v>89</v>
      </c>
      <c r="E8" s="1070" t="s">
        <v>90</v>
      </c>
      <c r="F8" s="1071" t="s">
        <v>90</v>
      </c>
      <c r="G8" s="1072" t="s">
        <v>91</v>
      </c>
      <c r="H8" s="1073" t="s">
        <v>90</v>
      </c>
      <c r="I8" s="1074" t="s">
        <v>90</v>
      </c>
      <c r="J8" s="1074" t="s">
        <v>90</v>
      </c>
      <c r="K8" s="1074" t="s">
        <v>90</v>
      </c>
      <c r="L8" s="1075" t="s">
        <v>90</v>
      </c>
      <c r="M8" s="4"/>
    </row>
    <row r="9" spans="2:13" ht="15">
      <c r="B9" s="1076" t="s">
        <v>250</v>
      </c>
      <c r="C9" s="1077"/>
      <c r="D9" s="1073">
        <f>+E9-1</f>
        <v>2019</v>
      </c>
      <c r="E9" s="1074">
        <f>+F9-1</f>
        <v>2020</v>
      </c>
      <c r="F9" s="1075">
        <f>+H9-1</f>
        <v>2021</v>
      </c>
      <c r="G9" s="1078" t="s">
        <v>92</v>
      </c>
      <c r="H9" s="1073">
        <f>+Cover!A47</f>
        <v>2022</v>
      </c>
      <c r="I9" s="1074">
        <f>+Cover!B47</f>
        <v>2023</v>
      </c>
      <c r="J9" s="1074">
        <f>+Cover!C47</f>
        <v>2024</v>
      </c>
      <c r="K9" s="1074">
        <f>+Cover!D47</f>
        <v>2025</v>
      </c>
      <c r="L9" s="1075">
        <f>+Cover!E47</f>
        <v>2026</v>
      </c>
      <c r="M9" s="4"/>
    </row>
    <row r="10" spans="2:13" ht="15">
      <c r="B10" s="1079"/>
      <c r="C10" s="1080"/>
      <c r="D10" s="1081"/>
      <c r="E10" s="1082"/>
      <c r="F10" s="1083"/>
      <c r="G10" s="1084"/>
      <c r="H10" s="1081"/>
      <c r="I10" s="1082"/>
      <c r="J10" s="1082"/>
      <c r="K10" s="1082"/>
      <c r="L10" s="1083"/>
      <c r="M10" s="4"/>
    </row>
    <row r="11" spans="2:13" ht="15.6">
      <c r="B11" s="1085"/>
      <c r="C11" s="1086" t="s">
        <v>93</v>
      </c>
      <c r="D11" s="1087"/>
      <c r="E11" s="1088"/>
      <c r="F11" s="1089"/>
      <c r="G11" s="1090"/>
      <c r="H11" s="1087"/>
      <c r="I11" s="1088"/>
      <c r="J11" s="1088"/>
      <c r="K11" s="1088"/>
      <c r="L11" s="1089"/>
      <c r="M11" s="4"/>
    </row>
    <row r="12" spans="2:13" ht="15.6">
      <c r="B12" s="1085">
        <v>1.01</v>
      </c>
      <c r="C12" s="1091" t="s">
        <v>94</v>
      </c>
      <c r="D12" s="1092">
        <f>VLOOKUP(B12,USASFF!$A$1:$E$68,2)</f>
        <v>9157706</v>
      </c>
      <c r="E12" s="1093">
        <f>VLOOKUP(B12,USASFF!$A$1:$E$68,3)</f>
        <v>9425875</v>
      </c>
      <c r="F12" s="1094">
        <f>VLOOKUP(B12,USASFF!$A$1:$E$68,4)</f>
        <v>9865381</v>
      </c>
      <c r="G12" s="1095">
        <f t="shared" ref="G12:G20" si="0">IF(OR(E12=0,D12 = 0),0,AVERAGE((E12-D12)/D12,(F12-E12)/E12))</f>
        <v>3.7955516431729522E-2</v>
      </c>
      <c r="H12" s="1092">
        <f>'Note Calc'!F27</f>
        <v>9823617</v>
      </c>
      <c r="I12" s="1093">
        <f>'Note Calc'!G27</f>
        <v>9656411</v>
      </c>
      <c r="J12" s="1093">
        <f>'Note Calc'!H27</f>
        <v>9183823</v>
      </c>
      <c r="K12" s="1093">
        <f>'Note Calc'!I27</f>
        <v>9288247</v>
      </c>
      <c r="L12" s="1094">
        <f>'Note Calc'!J27</f>
        <v>9387419</v>
      </c>
      <c r="M12" s="36"/>
    </row>
    <row r="13" spans="2:13" ht="15.6">
      <c r="B13" s="1085">
        <v>1.02</v>
      </c>
      <c r="C13" s="1079" t="s">
        <v>1024</v>
      </c>
      <c r="D13" s="1092">
        <f>VLOOKUP(B13,USASFF!$A$1:$E$68,2)</f>
        <v>1240772</v>
      </c>
      <c r="E13" s="1093">
        <f>VLOOKUP(B13,USASFF!$A$1:$E$68,3)</f>
        <v>1461169</v>
      </c>
      <c r="F13" s="1094">
        <f>VLOOKUP(B13,USASFF!$A$1:$E$68,4)</f>
        <v>1654190</v>
      </c>
      <c r="G13" s="1095">
        <f t="shared" si="0"/>
        <v>0.15486466069276711</v>
      </c>
      <c r="H13" s="1092">
        <f>+'Note Calc'!F58</f>
        <v>1732218</v>
      </c>
      <c r="I13" s="1093">
        <f>+'Note Calc'!G58</f>
        <v>1709024</v>
      </c>
      <c r="J13" s="1093">
        <f>+'Note Calc'!H58</f>
        <v>1681257</v>
      </c>
      <c r="K13" s="1093">
        <f>+'Note Calc'!I58</f>
        <v>1754325</v>
      </c>
      <c r="L13" s="1094">
        <f>+'Note Calc'!J58</f>
        <v>1827391</v>
      </c>
      <c r="M13" s="4"/>
    </row>
    <row r="14" spans="2:13" ht="15.6">
      <c r="B14" s="1085">
        <v>1.03</v>
      </c>
      <c r="C14" s="1079" t="s">
        <v>95</v>
      </c>
      <c r="D14" s="1092">
        <f>VLOOKUP(B14,USASFF!$A$1:$E$68,2)</f>
        <v>0</v>
      </c>
      <c r="E14" s="1093">
        <f>VLOOKUP(B14,USASFF!$A$1:$E$68,3)</f>
        <v>0</v>
      </c>
      <c r="F14" s="1094">
        <f>VLOOKUP(B14,USASFF!$A$1:$E$68,4)</f>
        <v>0</v>
      </c>
      <c r="G14" s="1095">
        <f t="shared" si="0"/>
        <v>0</v>
      </c>
      <c r="H14" s="1092">
        <f>'Note Calc'!F66</f>
        <v>0</v>
      </c>
      <c r="I14" s="1093">
        <f>'Note Calc'!G66</f>
        <v>0</v>
      </c>
      <c r="J14" s="1093">
        <f>'Note Calc'!H66</f>
        <v>0</v>
      </c>
      <c r="K14" s="1093">
        <f>'Note Calc'!I66</f>
        <v>0</v>
      </c>
      <c r="L14" s="1094">
        <f>'Note Calc'!J66</f>
        <v>0</v>
      </c>
      <c r="M14" s="4"/>
    </row>
    <row r="15" spans="2:13" ht="15.6">
      <c r="B15" s="1085">
        <v>1.0349999999999999</v>
      </c>
      <c r="C15" s="1079" t="s">
        <v>96</v>
      </c>
      <c r="D15" s="1092">
        <f>VLOOKUP(B15,USASFF!$A$1:$E$68,2)</f>
        <v>18345074</v>
      </c>
      <c r="E15" s="1093">
        <f>VLOOKUP(B15,USASFF!$A$1:$E$68,3)</f>
        <v>17717074</v>
      </c>
      <c r="F15" s="1094">
        <f>VLOOKUP(B15,USASFF!$A$1:$E$68,4)</f>
        <v>17960616</v>
      </c>
      <c r="G15" s="1095">
        <f t="shared" si="0"/>
        <v>-1.0243223932732047E-2</v>
      </c>
      <c r="H15" s="1092">
        <f>'Note Calc'!F100</f>
        <v>16134504</v>
      </c>
      <c r="I15" s="1093">
        <f>'Note Calc'!G100</f>
        <v>17007583</v>
      </c>
      <c r="J15" s="1093">
        <f>'Note Calc'!H100</f>
        <v>17010834</v>
      </c>
      <c r="K15" s="1093">
        <f>'Note Calc'!I100</f>
        <v>17014139</v>
      </c>
      <c r="L15" s="1094">
        <f>'Note Calc'!J100</f>
        <v>17017523</v>
      </c>
      <c r="M15" s="4"/>
    </row>
    <row r="16" spans="2:13" ht="15.6">
      <c r="B16" s="1085">
        <v>1.04</v>
      </c>
      <c r="C16" s="1079" t="s">
        <v>97</v>
      </c>
      <c r="D16" s="1092">
        <f>VLOOKUP(B16,USASFF!$A$1:$E$68,2)</f>
        <v>1503597</v>
      </c>
      <c r="E16" s="1093">
        <f>VLOOKUP(B16,USASFF!$A$1:$E$68,3)</f>
        <v>1545375</v>
      </c>
      <c r="F16" s="1094">
        <f>VLOOKUP(B16,USASFF!$A$1:$E$68,4)</f>
        <v>1545371</v>
      </c>
      <c r="G16" s="1095">
        <f t="shared" si="0"/>
        <v>1.389139115629387E-2</v>
      </c>
      <c r="H16" s="1092">
        <f>'Note Calc'!F101</f>
        <v>1545371</v>
      </c>
      <c r="I16" s="1093">
        <f>'Note Calc'!G101</f>
        <v>1545371</v>
      </c>
      <c r="J16" s="1093">
        <f>'Note Calc'!H101</f>
        <v>1545371</v>
      </c>
      <c r="K16" s="1093">
        <f>'Note Calc'!I101</f>
        <v>1545371</v>
      </c>
      <c r="L16" s="1094">
        <f>'Note Calc'!J101</f>
        <v>1545371</v>
      </c>
      <c r="M16" s="4"/>
    </row>
    <row r="17" spans="2:18" ht="15.6">
      <c r="B17" s="1085">
        <v>1.0449999999999999</v>
      </c>
      <c r="C17" s="1079" t="s">
        <v>1025</v>
      </c>
      <c r="D17" s="1092">
        <f>VLOOKUP(B17,USASFF!$A$1:$E$68,2)</f>
        <v>0</v>
      </c>
      <c r="E17" s="1093">
        <f>VLOOKUP(B17,USASFF!$A$1:$E$68,3)</f>
        <v>0</v>
      </c>
      <c r="F17" s="1094">
        <f>VLOOKUP(B17,USASFF!$A$1:$E$68,4)</f>
        <v>0</v>
      </c>
      <c r="G17" s="1095">
        <f t="shared" si="0"/>
        <v>0</v>
      </c>
      <c r="H17" s="1092">
        <f>'Note Calc'!F102</f>
        <v>0</v>
      </c>
      <c r="I17" s="1093">
        <f>'Note Calc'!G102</f>
        <v>0</v>
      </c>
      <c r="J17" s="1093">
        <f>'Note Calc'!H102</f>
        <v>0</v>
      </c>
      <c r="K17" s="1093">
        <f>'Note Calc'!I102</f>
        <v>0</v>
      </c>
      <c r="L17" s="1094">
        <f>'Note Calc'!J102</f>
        <v>0</v>
      </c>
      <c r="M17" s="4"/>
    </row>
    <row r="18" spans="2:18" ht="15.6">
      <c r="B18" s="1085">
        <v>1.05</v>
      </c>
      <c r="C18" s="1079" t="s">
        <v>98</v>
      </c>
      <c r="D18" s="1092">
        <f>VLOOKUP(B18,USASFF!$A$1:$E$68,2)</f>
        <v>2668596</v>
      </c>
      <c r="E18" s="1093">
        <f>VLOOKUP(B18,USASFF!$A$1:$E$68,3)</f>
        <v>2465279</v>
      </c>
      <c r="F18" s="1094">
        <f>VLOOKUP(B18,USASFF!$A$1:$E$68,4)</f>
        <v>2241868</v>
      </c>
      <c r="G18" s="1095">
        <f t="shared" si="0"/>
        <v>-8.3405880515073985E-2</v>
      </c>
      <c r="H18" s="1092">
        <f>'Note Calc'!F132</f>
        <v>2012084</v>
      </c>
      <c r="I18" s="1093">
        <f>'Note Calc'!G132</f>
        <v>1726932</v>
      </c>
      <c r="J18" s="1093">
        <f>'Note Calc'!H132</f>
        <v>1410196</v>
      </c>
      <c r="K18" s="1093">
        <f>'Note Calc'!I132</f>
        <v>1167772</v>
      </c>
      <c r="L18" s="1094">
        <f>'Note Calc'!J132</f>
        <v>1121128</v>
      </c>
      <c r="M18" s="4"/>
    </row>
    <row r="19" spans="2:18" ht="15.6">
      <c r="B19" s="1085">
        <v>1.06</v>
      </c>
      <c r="C19" s="1079" t="s">
        <v>99</v>
      </c>
      <c r="D19" s="1092">
        <f>VLOOKUP(B19,USASFF!$A$1:$E$68,2)</f>
        <v>1900591</v>
      </c>
      <c r="E19" s="1093">
        <f>VLOOKUP(B19,USASFF!$A$1:$E$68,3)</f>
        <v>2077305</v>
      </c>
      <c r="F19" s="1094">
        <f>VLOOKUP(B19,USASFF!$A$1:$E$68,4)</f>
        <v>2137525</v>
      </c>
      <c r="G19" s="1095">
        <f t="shared" si="0"/>
        <v>6.0983965600589732E-2</v>
      </c>
      <c r="H19" s="1096">
        <f>'Note Calc'!F150</f>
        <v>1205805</v>
      </c>
      <c r="I19" s="1097">
        <f>'Note Calc'!G150</f>
        <v>1179285</v>
      </c>
      <c r="J19" s="1097">
        <f>'Note Calc'!H150</f>
        <v>1182344</v>
      </c>
      <c r="K19" s="1097">
        <f>'Note Calc'!I150</f>
        <v>1173130</v>
      </c>
      <c r="L19" s="1098">
        <f>'Note Calc'!J150</f>
        <v>1176644</v>
      </c>
      <c r="M19" s="4"/>
    </row>
    <row r="20" spans="2:18" ht="15.6">
      <c r="B20" s="1085">
        <v>1.07</v>
      </c>
      <c r="C20" s="1099" t="s">
        <v>100</v>
      </c>
      <c r="D20" s="1100">
        <f>SUM(D12:D19)</f>
        <v>34816336</v>
      </c>
      <c r="E20" s="1101">
        <f>SUM(E12:E19)</f>
        <v>34692077</v>
      </c>
      <c r="F20" s="1102">
        <f>SUM(F12:F19)</f>
        <v>35404951</v>
      </c>
      <c r="G20" s="1103">
        <f t="shared" si="0"/>
        <v>8.4898127975321803E-3</v>
      </c>
      <c r="H20" s="1100">
        <f>SUM(H12:H19)</f>
        <v>32453599</v>
      </c>
      <c r="I20" s="1101">
        <f>SUM(I12:I19)</f>
        <v>32824606</v>
      </c>
      <c r="J20" s="1101">
        <f>SUM(J12:J19)</f>
        <v>32013825</v>
      </c>
      <c r="K20" s="1101">
        <f>SUM(K12:K19)</f>
        <v>31942984</v>
      </c>
      <c r="L20" s="1102">
        <f>SUM(L12:L19)</f>
        <v>32075476</v>
      </c>
      <c r="M20" s="16"/>
      <c r="N20" s="1479" t="s">
        <v>1059</v>
      </c>
      <c r="O20" s="1479"/>
      <c r="P20" s="1479"/>
      <c r="Q20" s="1480">
        <f>((L20-H20)/H20)/5</f>
        <v>-2.3302377033745931E-3</v>
      </c>
      <c r="R20" s="151"/>
    </row>
    <row r="21" spans="2:18" ht="15.6">
      <c r="B21" s="1085"/>
      <c r="C21" s="1080"/>
      <c r="D21" s="1104"/>
      <c r="E21" s="1105"/>
      <c r="F21" s="1106"/>
      <c r="G21" s="1107"/>
      <c r="H21" s="1104"/>
      <c r="I21" s="1105"/>
      <c r="J21" s="1105"/>
      <c r="K21" s="1105"/>
      <c r="L21" s="1106"/>
      <c r="M21" s="4"/>
      <c r="N21" s="151"/>
      <c r="O21" s="151"/>
      <c r="P21" s="151"/>
      <c r="Q21" s="151"/>
      <c r="R21" s="151"/>
    </row>
    <row r="22" spans="2:18" ht="15.6">
      <c r="B22" s="1085"/>
      <c r="C22" s="1086" t="s">
        <v>119</v>
      </c>
      <c r="D22" s="1104"/>
      <c r="E22" s="1105"/>
      <c r="F22" s="1106"/>
      <c r="G22" s="1107"/>
      <c r="H22" s="1104"/>
      <c r="I22" s="1105"/>
      <c r="J22" s="1105"/>
      <c r="K22" s="1105"/>
      <c r="L22" s="1106"/>
      <c r="M22" s="4"/>
      <c r="N22" s="151"/>
      <c r="O22" s="151"/>
      <c r="P22" s="151"/>
      <c r="Q22" s="151"/>
      <c r="R22" s="151"/>
    </row>
    <row r="23" spans="2:18" ht="15.6">
      <c r="B23" s="1085">
        <v>2.0099999999999998</v>
      </c>
      <c r="C23" s="1079" t="s">
        <v>120</v>
      </c>
      <c r="D23" s="1092">
        <f>VLOOKUP(B23,USASFF!$A$1:$E$68,2)</f>
        <v>0</v>
      </c>
      <c r="E23" s="1093">
        <f>VLOOKUP(B23,USASFF!$A$1:$E$68,3)</f>
        <v>0</v>
      </c>
      <c r="F23" s="1094">
        <f>VLOOKUP(B23,USASFF!$A$1:$E$68,4)</f>
        <v>0</v>
      </c>
      <c r="G23" s="1095">
        <f t="shared" ref="G23:G29" si="1">IF(OR(E23=0,D23 = 0),0,AVERAGE((E23-D23)/D23,(F23-E23)/E23))</f>
        <v>0</v>
      </c>
      <c r="H23" s="1092">
        <f>'Note Calc'!F165</f>
        <v>0</v>
      </c>
      <c r="I23" s="1093">
        <f>'Note Calc'!G165</f>
        <v>0</v>
      </c>
      <c r="J23" s="1093">
        <f>'Note Calc'!H165</f>
        <v>0</v>
      </c>
      <c r="K23" s="1093">
        <f>'Note Calc'!I165</f>
        <v>0</v>
      </c>
      <c r="L23" s="1094">
        <f>'Note Calc'!J165</f>
        <v>0</v>
      </c>
      <c r="M23" s="36"/>
      <c r="N23" s="151"/>
      <c r="O23" s="151"/>
      <c r="P23" s="151"/>
      <c r="Q23" s="151"/>
      <c r="R23" s="151"/>
    </row>
    <row r="24" spans="2:18" ht="15.6">
      <c r="B24" s="1085">
        <v>2.02</v>
      </c>
      <c r="C24" s="1079" t="s">
        <v>121</v>
      </c>
      <c r="D24" s="1092">
        <f>VLOOKUP(B24,USASFF!$A$1:$E$68,2)</f>
        <v>0</v>
      </c>
      <c r="E24" s="1093">
        <f>VLOOKUP(B24,USASFF!$A$1:$E$68,3)</f>
        <v>0</v>
      </c>
      <c r="F24" s="1094">
        <f>VLOOKUP(B24,USASFF!$A$1:$E$68,4)</f>
        <v>0</v>
      </c>
      <c r="G24" s="1095">
        <f t="shared" si="1"/>
        <v>0</v>
      </c>
      <c r="H24" s="1092">
        <f>'Note Calc'!F170</f>
        <v>0</v>
      </c>
      <c r="I24" s="1093">
        <f>'Note Calc'!G170</f>
        <v>0</v>
      </c>
      <c r="J24" s="1093">
        <f>'Note Calc'!H170</f>
        <v>0</v>
      </c>
      <c r="K24" s="1093">
        <f>'Note Calc'!I170</f>
        <v>0</v>
      </c>
      <c r="L24" s="1094">
        <f>'Note Calc'!J170</f>
        <v>0</v>
      </c>
      <c r="M24" s="37"/>
      <c r="N24" s="151"/>
      <c r="O24" s="151"/>
      <c r="P24" s="151"/>
      <c r="Q24" s="151"/>
      <c r="R24" s="151"/>
    </row>
    <row r="25" spans="2:18" ht="15.6">
      <c r="B25" s="1085">
        <v>2.04</v>
      </c>
      <c r="C25" s="1079" t="s">
        <v>122</v>
      </c>
      <c r="D25" s="1092">
        <f>VLOOKUP(B25,USASFF!$A$1:$E$68,2)</f>
        <v>15031</v>
      </c>
      <c r="E25" s="1093">
        <f>VLOOKUP(B25,USASFF!$A$1:$E$68,3)</f>
        <v>0</v>
      </c>
      <c r="F25" s="1094">
        <f>VLOOKUP(B25,USASFF!$A$1:$E$68,4)</f>
        <v>0</v>
      </c>
      <c r="G25" s="1095">
        <f t="shared" si="1"/>
        <v>0</v>
      </c>
      <c r="H25" s="1092">
        <f>'Note Calc'!F173</f>
        <v>0</v>
      </c>
      <c r="I25" s="1093">
        <f>'Note Calc'!G173</f>
        <v>0</v>
      </c>
      <c r="J25" s="1093">
        <f>'Note Calc'!H173</f>
        <v>0</v>
      </c>
      <c r="K25" s="1093">
        <f>'Note Calc'!I173</f>
        <v>0</v>
      </c>
      <c r="L25" s="1094">
        <f>'Note Calc'!J173</f>
        <v>0</v>
      </c>
      <c r="M25" s="37"/>
      <c r="N25" s="151"/>
      <c r="O25" s="151"/>
      <c r="P25" s="151"/>
      <c r="Q25" s="151"/>
      <c r="R25" s="151"/>
    </row>
    <row r="26" spans="2:18" ht="15.6">
      <c r="B26" s="1085">
        <v>2.0499999999999998</v>
      </c>
      <c r="C26" s="1079" t="s">
        <v>123</v>
      </c>
      <c r="D26" s="1092">
        <f>VLOOKUP(B26,USASFF!$A$1:$E$68,2)</f>
        <v>0</v>
      </c>
      <c r="E26" s="1093">
        <f>VLOOKUP(B26,USASFF!$A$1:$E$68,3)</f>
        <v>3284</v>
      </c>
      <c r="F26" s="1094">
        <f>VLOOKUP(B26,USASFF!$A$1:$E$68,4)</f>
        <v>0</v>
      </c>
      <c r="G26" s="1095">
        <f t="shared" si="1"/>
        <v>0</v>
      </c>
      <c r="H26" s="1092">
        <f>'Note Calc'!F174</f>
        <v>102915</v>
      </c>
      <c r="I26" s="1093">
        <f>'Note Calc'!G174</f>
        <v>0</v>
      </c>
      <c r="J26" s="1093">
        <f>'Note Calc'!H174</f>
        <v>0</v>
      </c>
      <c r="K26" s="1093">
        <f>'Note Calc'!I174</f>
        <v>0</v>
      </c>
      <c r="L26" s="1094">
        <f>'Note Calc'!J174</f>
        <v>0</v>
      </c>
      <c r="M26" s="37"/>
      <c r="N26" s="151"/>
      <c r="O26" s="151"/>
      <c r="P26" s="151"/>
      <c r="Q26" s="151"/>
      <c r="R26" s="151"/>
    </row>
    <row r="27" spans="2:18" ht="15.6">
      <c r="B27" s="1085">
        <v>2.06</v>
      </c>
      <c r="C27" s="1079" t="s">
        <v>124</v>
      </c>
      <c r="D27" s="1096">
        <f>VLOOKUP(B27,USASFF!$A$1:$E$68,2)</f>
        <v>295270</v>
      </c>
      <c r="E27" s="1097">
        <f>VLOOKUP(B27,USASFF!$A$1:$E$68,3)</f>
        <v>229040</v>
      </c>
      <c r="F27" s="1098">
        <f>VLOOKUP(B27,USASFF!$A$1:$E$68,4)</f>
        <v>888651</v>
      </c>
      <c r="G27" s="1095">
        <f t="shared" si="1"/>
        <v>1.327795580729755</v>
      </c>
      <c r="H27" s="1096">
        <f>'Note Calc'!F183</f>
        <v>301166</v>
      </c>
      <c r="I27" s="1097">
        <f>'Note Calc'!G183</f>
        <v>301166</v>
      </c>
      <c r="J27" s="1097">
        <f>'Note Calc'!H183</f>
        <v>301166</v>
      </c>
      <c r="K27" s="1097">
        <f>'Note Calc'!I183</f>
        <v>301166</v>
      </c>
      <c r="L27" s="1098">
        <f>'Note Calc'!J183</f>
        <v>301166</v>
      </c>
      <c r="M27" s="37"/>
      <c r="N27" s="151"/>
      <c r="O27" s="151"/>
      <c r="P27" s="151"/>
      <c r="Q27" s="151"/>
      <c r="R27" s="151"/>
    </row>
    <row r="28" spans="2:18" ht="15.6">
      <c r="B28" s="1085">
        <v>2.0699999999999998</v>
      </c>
      <c r="C28" s="1099" t="s">
        <v>209</v>
      </c>
      <c r="D28" s="1100">
        <f>SUM(D23:D27)</f>
        <v>310301</v>
      </c>
      <c r="E28" s="1108">
        <f>SUM(E23:E27)</f>
        <v>232324</v>
      </c>
      <c r="F28" s="1102">
        <f>SUM(F23:F27)</f>
        <v>888651</v>
      </c>
      <c r="G28" s="1103">
        <f t="shared" si="1"/>
        <v>1.2868778250417336</v>
      </c>
      <c r="H28" s="1100">
        <f>SUM(H23:H27)</f>
        <v>404081</v>
      </c>
      <c r="I28" s="1101">
        <f>SUM(I23:I27)</f>
        <v>301166</v>
      </c>
      <c r="J28" s="1101">
        <f>SUM(J23:J27)</f>
        <v>301166</v>
      </c>
      <c r="K28" s="1101">
        <f>SUM(K23:K27)</f>
        <v>301166</v>
      </c>
      <c r="L28" s="1102">
        <f>SUM(L23:L27)</f>
        <v>301166</v>
      </c>
      <c r="M28" s="37"/>
      <c r="N28" s="151"/>
      <c r="O28" s="151"/>
      <c r="P28" s="151"/>
      <c r="Q28" s="151"/>
      <c r="R28" s="151"/>
    </row>
    <row r="29" spans="2:18" ht="15.6">
      <c r="B29" s="1085">
        <v>2.08</v>
      </c>
      <c r="C29" s="1099" t="s">
        <v>125</v>
      </c>
      <c r="D29" s="1109">
        <f>+D28+D20</f>
        <v>35126637</v>
      </c>
      <c r="E29" s="1110">
        <f>+E28+E20</f>
        <v>34924401</v>
      </c>
      <c r="F29" s="1111">
        <f>+F28+F20</f>
        <v>36293602</v>
      </c>
      <c r="G29" s="1112">
        <f t="shared" si="1"/>
        <v>1.6723684701947638E-2</v>
      </c>
      <c r="H29" s="1109">
        <f>+H28+H20</f>
        <v>32857680</v>
      </c>
      <c r="I29" s="1110">
        <f>+I28+I20</f>
        <v>33125772</v>
      </c>
      <c r="J29" s="1110">
        <f>+J28+J20</f>
        <v>32314991</v>
      </c>
      <c r="K29" s="1110">
        <f>+K28+K20</f>
        <v>32244150</v>
      </c>
      <c r="L29" s="1113">
        <f>+L28+L20</f>
        <v>32376642</v>
      </c>
      <c r="M29" s="16"/>
      <c r="N29" s="151"/>
      <c r="O29" s="151"/>
      <c r="P29" s="151"/>
      <c r="Q29" s="151"/>
      <c r="R29" s="151"/>
    </row>
    <row r="30" spans="2:18" ht="15.6">
      <c r="B30" s="1085"/>
      <c r="C30" s="1080"/>
      <c r="D30" s="1114"/>
      <c r="E30" s="1115"/>
      <c r="F30" s="1116"/>
      <c r="G30" s="1107"/>
      <c r="H30" s="1114"/>
      <c r="I30" s="1115"/>
      <c r="J30" s="1115"/>
      <c r="K30" s="1115"/>
      <c r="L30" s="1116"/>
      <c r="M30" s="4"/>
      <c r="N30" s="151"/>
      <c r="O30" s="151"/>
      <c r="P30" s="151"/>
      <c r="Q30" s="151"/>
      <c r="R30" s="151"/>
    </row>
    <row r="31" spans="2:18" ht="15.6">
      <c r="B31" s="1085"/>
      <c r="C31" s="1086" t="s">
        <v>10</v>
      </c>
      <c r="D31" s="1104"/>
      <c r="E31" s="1105"/>
      <c r="F31" s="1106"/>
      <c r="G31" s="1107"/>
      <c r="H31" s="1104"/>
      <c r="I31" s="1105"/>
      <c r="J31" s="1105"/>
      <c r="K31" s="1105"/>
      <c r="L31" s="1106"/>
      <c r="M31" s="4"/>
      <c r="N31" s="151"/>
      <c r="O31" s="151"/>
      <c r="P31" s="151"/>
      <c r="Q31" s="151"/>
      <c r="R31" s="151"/>
    </row>
    <row r="32" spans="2:18" ht="15.6">
      <c r="B32" s="1085">
        <v>3.01</v>
      </c>
      <c r="C32" s="1091" t="s">
        <v>126</v>
      </c>
      <c r="D32" s="1092">
        <f>VLOOKUP(B32,USASFF!$A$1:$E$68,2)</f>
        <v>16205353</v>
      </c>
      <c r="E32" s="1093">
        <f>VLOOKUP(B32,USASFF!$A$1:$E$68,3)</f>
        <v>16810475</v>
      </c>
      <c r="F32" s="1094">
        <f>VLOOKUP(B32,USASFF!$A$1:$E$68,4)</f>
        <v>17188441</v>
      </c>
      <c r="G32" s="1095">
        <f t="shared" ref="G32:G47" si="2">IF(OR(E32=0,D32 = 0),0,AVERAGE((E32-D32)/D32,(F32-E32)/E32))</f>
        <v>2.9912414214798046E-2</v>
      </c>
      <c r="H32" s="1092">
        <f>'Note Calc'!F203</f>
        <v>17339955</v>
      </c>
      <c r="I32" s="1093">
        <f>'Note Calc'!G203</f>
        <v>17958872</v>
      </c>
      <c r="J32" s="1093">
        <f>'Note Calc'!H203</f>
        <v>18600999</v>
      </c>
      <c r="K32" s="1093">
        <f>'Note Calc'!I203</f>
        <v>18911895</v>
      </c>
      <c r="L32" s="1094">
        <f>'Note Calc'!J203</f>
        <v>19228232</v>
      </c>
      <c r="M32" s="36"/>
      <c r="N32" s="151"/>
      <c r="O32" s="151"/>
      <c r="P32" s="151"/>
      <c r="Q32" s="151"/>
      <c r="R32" s="151"/>
    </row>
    <row r="33" spans="2:18" ht="15.6">
      <c r="B33" s="1085">
        <v>3.02</v>
      </c>
      <c r="C33" s="1079" t="s">
        <v>127</v>
      </c>
      <c r="D33" s="1092">
        <f>VLOOKUP(B33,USASFF!$A$1:$E$68,2)</f>
        <v>9141807</v>
      </c>
      <c r="E33" s="1093">
        <f>VLOOKUP(B33,USASFF!$A$1:$E$68,3)</f>
        <v>9594127</v>
      </c>
      <c r="F33" s="1094">
        <f>VLOOKUP(B33,USASFF!$A$1:$E$68,4)</f>
        <v>10070631</v>
      </c>
      <c r="G33" s="1095">
        <f t="shared" si="2"/>
        <v>4.9572200354944626E-2</v>
      </c>
      <c r="H33" s="1092">
        <f>'Note Calc'!F277</f>
        <v>11450289</v>
      </c>
      <c r="I33" s="1093">
        <f>'Note Calc'!G277</f>
        <v>11855301</v>
      </c>
      <c r="J33" s="1093">
        <f>'Note Calc'!H277</f>
        <v>12274763</v>
      </c>
      <c r="K33" s="1093">
        <f>'Note Calc'!I277</f>
        <v>12631454</v>
      </c>
      <c r="L33" s="1094">
        <f>'Note Calc'!J277</f>
        <v>13082841</v>
      </c>
      <c r="M33" s="4"/>
      <c r="N33" s="151"/>
      <c r="O33" s="151"/>
      <c r="P33" s="151"/>
      <c r="Q33" s="151"/>
      <c r="R33" s="151"/>
    </row>
    <row r="34" spans="2:18" ht="15.6">
      <c r="B34" s="1085">
        <v>3.03</v>
      </c>
      <c r="C34" s="1079" t="s">
        <v>281</v>
      </c>
      <c r="D34" s="1092">
        <f>VLOOKUP(B34,USASFF!$A$1:$E$68,2)</f>
        <v>7217183</v>
      </c>
      <c r="E34" s="1093">
        <f>VLOOKUP(B34,USASFF!$A$1:$E$68,3)</f>
        <v>7165014</v>
      </c>
      <c r="F34" s="1094">
        <f>VLOOKUP(B34,USASFF!$A$1:$E$68,4)</f>
        <v>7401420</v>
      </c>
      <c r="G34" s="1095">
        <f t="shared" si="2"/>
        <v>1.2883024420625199E-2</v>
      </c>
      <c r="H34" s="1092">
        <f>'Note Calc'!F294</f>
        <v>3758656</v>
      </c>
      <c r="I34" s="1093">
        <f>'Note Calc'!G294</f>
        <v>3782202</v>
      </c>
      <c r="J34" s="1093">
        <f>'Note Calc'!H294</f>
        <v>3806327</v>
      </c>
      <c r="K34" s="1093">
        <f>'Note Calc'!I294</f>
        <v>3831047</v>
      </c>
      <c r="L34" s="1094">
        <f>'Note Calc'!J294</f>
        <v>3856378</v>
      </c>
      <c r="M34" s="4"/>
      <c r="N34" s="151"/>
      <c r="O34" s="151"/>
      <c r="P34" s="151"/>
      <c r="Q34" s="151"/>
      <c r="R34" s="151"/>
    </row>
    <row r="35" spans="2:18" ht="15.6">
      <c r="B35" s="1085">
        <v>3.04</v>
      </c>
      <c r="C35" s="1079" t="s">
        <v>128</v>
      </c>
      <c r="D35" s="1092">
        <f>VLOOKUP(B35,USASFF!$A$1:$E$68,2)</f>
        <v>914145</v>
      </c>
      <c r="E35" s="1093">
        <f>VLOOKUP(B35,USASFF!$A$1:$E$68,3)</f>
        <v>929926</v>
      </c>
      <c r="F35" s="1094">
        <f>VLOOKUP(B35,USASFF!$A$1:$E$68,4)</f>
        <v>906334</v>
      </c>
      <c r="G35" s="1095">
        <f t="shared" si="2"/>
        <v>-4.0533174758373633E-3</v>
      </c>
      <c r="H35" s="1092">
        <f>'Note Calc'!F308</f>
        <v>652926</v>
      </c>
      <c r="I35" s="1093">
        <f>'Note Calc'!G308</f>
        <v>657902</v>
      </c>
      <c r="J35" s="1093">
        <f>'Note Calc'!H308</f>
        <v>657902</v>
      </c>
      <c r="K35" s="1093">
        <f>'Note Calc'!I308</f>
        <v>657902</v>
      </c>
      <c r="L35" s="1094">
        <f>'Note Calc'!J308</f>
        <v>657902</v>
      </c>
      <c r="M35" s="4"/>
      <c r="N35" s="151"/>
      <c r="O35" s="151"/>
      <c r="P35" s="151"/>
      <c r="Q35" s="151"/>
      <c r="R35" s="151"/>
    </row>
    <row r="36" spans="2:18" ht="15.6">
      <c r="B36" s="1085">
        <v>3.05</v>
      </c>
      <c r="C36" s="1079" t="s">
        <v>45</v>
      </c>
      <c r="D36" s="1092">
        <f>VLOOKUP(B36,USASFF!$A$1:$E$68,2)</f>
        <v>615808</v>
      </c>
      <c r="E36" s="1093">
        <f>VLOOKUP(B36,USASFF!$A$1:$E$68,3)</f>
        <v>505281</v>
      </c>
      <c r="F36" s="1094">
        <f>VLOOKUP(B36,USASFF!$A$1:$E$68,4)</f>
        <v>221228</v>
      </c>
      <c r="G36" s="1095">
        <f t="shared" si="2"/>
        <v>-0.37082563418349113</v>
      </c>
      <c r="H36" s="1092">
        <f>'Note Calc'!F318</f>
        <v>323735</v>
      </c>
      <c r="I36" s="1093">
        <f>'Note Calc'!G318</f>
        <v>534775</v>
      </c>
      <c r="J36" s="1093">
        <f>'Note Calc'!H318</f>
        <v>536673</v>
      </c>
      <c r="K36" s="1093">
        <f>'Note Calc'!I318</f>
        <v>538590</v>
      </c>
      <c r="L36" s="1094">
        <f>'Note Calc'!J318</f>
        <v>540526</v>
      </c>
      <c r="M36" s="4"/>
      <c r="N36" s="151"/>
      <c r="O36" s="151"/>
      <c r="P36" s="151"/>
      <c r="Q36" s="151"/>
      <c r="R36" s="151"/>
    </row>
    <row r="37" spans="2:18" ht="15.6">
      <c r="B37" s="1085">
        <v>3.06</v>
      </c>
      <c r="C37" s="1079" t="s">
        <v>213</v>
      </c>
      <c r="D37" s="1092">
        <f>VLOOKUP(B37,USASFF!$A$1:$E$68,2)</f>
        <v>0</v>
      </c>
      <c r="E37" s="1093">
        <f>VLOOKUP(B37,USASFF!$A$1:$E$68,3)</f>
        <v>0</v>
      </c>
      <c r="F37" s="1094">
        <f>VLOOKUP(B37,USASFF!$A$1:$E$68,4)</f>
        <v>0</v>
      </c>
      <c r="G37" s="1095">
        <f t="shared" si="2"/>
        <v>0</v>
      </c>
      <c r="H37" s="1092">
        <v>0</v>
      </c>
      <c r="I37" s="1093">
        <v>0</v>
      </c>
      <c r="J37" s="1093">
        <v>0</v>
      </c>
      <c r="K37" s="1093">
        <v>0</v>
      </c>
      <c r="L37" s="1094">
        <v>0</v>
      </c>
      <c r="M37" s="4"/>
      <c r="N37" s="151"/>
      <c r="O37" s="151"/>
      <c r="P37" s="151"/>
      <c r="Q37" s="151"/>
      <c r="R37" s="151"/>
    </row>
    <row r="38" spans="2:18" ht="15.6">
      <c r="B38" s="1085"/>
      <c r="C38" s="1079" t="s">
        <v>214</v>
      </c>
      <c r="D38" s="1117"/>
      <c r="E38" s="1118"/>
      <c r="F38" s="1119"/>
      <c r="G38" s="1095">
        <f t="shared" si="2"/>
        <v>0</v>
      </c>
      <c r="H38" s="1117"/>
      <c r="I38" s="1118"/>
      <c r="J38" s="1118"/>
      <c r="K38" s="1118"/>
      <c r="L38" s="1119"/>
      <c r="M38" s="4"/>
      <c r="N38" s="151"/>
      <c r="O38" s="151"/>
      <c r="P38" s="151"/>
      <c r="Q38" s="151"/>
      <c r="R38" s="151"/>
    </row>
    <row r="39" spans="2:18" ht="15.6">
      <c r="B39" s="1085">
        <v>4.01</v>
      </c>
      <c r="C39" s="1079" t="s">
        <v>129</v>
      </c>
      <c r="D39" s="1092">
        <f>VLOOKUP(B39,USASFF!$A$1:$E$68,2)</f>
        <v>0</v>
      </c>
      <c r="E39" s="1093">
        <f>VLOOKUP(B39,USASFF!$A$1:$E$68,3)</f>
        <v>0</v>
      </c>
      <c r="F39" s="1094">
        <f>VLOOKUP(B39,USASFF!$A$1:$E$68,4)</f>
        <v>0</v>
      </c>
      <c r="G39" s="1095">
        <f t="shared" si="2"/>
        <v>0</v>
      </c>
      <c r="H39" s="1092">
        <v>0</v>
      </c>
      <c r="I39" s="1093">
        <v>0</v>
      </c>
      <c r="J39" s="1093">
        <v>0</v>
      </c>
      <c r="K39" s="1093">
        <v>0</v>
      </c>
      <c r="L39" s="1094">
        <v>0</v>
      </c>
      <c r="M39" s="4"/>
      <c r="N39" s="151"/>
      <c r="O39" s="151"/>
      <c r="P39" s="151"/>
      <c r="Q39" s="151"/>
      <c r="R39" s="151"/>
    </row>
    <row r="40" spans="2:18" ht="15.6">
      <c r="B40" s="1085">
        <v>4.0199999999999996</v>
      </c>
      <c r="C40" s="1079" t="s">
        <v>130</v>
      </c>
      <c r="D40" s="1092">
        <f>VLOOKUP(B40,USASFF!$A$1:$E$68,2)</f>
        <v>0</v>
      </c>
      <c r="E40" s="1093">
        <f>VLOOKUP(B40,USASFF!$A$1:$E$68,3)</f>
        <v>0</v>
      </c>
      <c r="F40" s="1094">
        <f>VLOOKUP(B40,USASFF!$A$1:$E$68,4)</f>
        <v>0</v>
      </c>
      <c r="G40" s="1095">
        <f t="shared" si="2"/>
        <v>0</v>
      </c>
      <c r="H40" s="1092">
        <v>0</v>
      </c>
      <c r="I40" s="1093">
        <v>0</v>
      </c>
      <c r="J40" s="1093">
        <v>0</v>
      </c>
      <c r="K40" s="1093">
        <v>0</v>
      </c>
      <c r="L40" s="1094">
        <v>0</v>
      </c>
      <c r="M40" s="4"/>
      <c r="N40" s="151"/>
      <c r="O40" s="151"/>
      <c r="P40" s="151"/>
      <c r="Q40" s="151"/>
      <c r="R40" s="151"/>
    </row>
    <row r="41" spans="2:18" ht="15.6">
      <c r="B41" s="1085">
        <v>4.03</v>
      </c>
      <c r="C41" s="1079" t="s">
        <v>131</v>
      </c>
      <c r="D41" s="1092">
        <f>VLOOKUP(B41,USASFF!$A$1:$E$68,2)</f>
        <v>0</v>
      </c>
      <c r="E41" s="1093">
        <f>VLOOKUP(B41,USASFF!$A$1:$E$68,3)</f>
        <v>0</v>
      </c>
      <c r="F41" s="1094">
        <f>VLOOKUP(B41,USASFF!$A$1:$E$68,4)</f>
        <v>0</v>
      </c>
      <c r="G41" s="1095">
        <f t="shared" si="2"/>
        <v>0</v>
      </c>
      <c r="H41" s="1092">
        <f>'Note Calc'!F325</f>
        <v>0</v>
      </c>
      <c r="I41" s="1093">
        <f>'Note Calc'!G325</f>
        <v>0</v>
      </c>
      <c r="J41" s="1093">
        <f>'Note Calc'!H325</f>
        <v>0</v>
      </c>
      <c r="K41" s="1093">
        <f>'Note Calc'!I325</f>
        <v>0</v>
      </c>
      <c r="L41" s="1094">
        <f>'Note Calc'!J325</f>
        <v>0</v>
      </c>
      <c r="M41" s="4"/>
      <c r="N41" s="151" t="s">
        <v>250</v>
      </c>
      <c r="O41" s="151"/>
      <c r="P41" s="151"/>
      <c r="Q41" s="151"/>
      <c r="R41" s="151"/>
    </row>
    <row r="42" spans="2:18" ht="15.6">
      <c r="B42" s="1085">
        <v>4.04</v>
      </c>
      <c r="C42" s="1079" t="s">
        <v>132</v>
      </c>
      <c r="D42" s="1092">
        <f>VLOOKUP(B42,USASFF!$A$1:$E$68,2)</f>
        <v>0</v>
      </c>
      <c r="E42" s="1093">
        <f>VLOOKUP(B42,USASFF!$A$1:$E$68,3)</f>
        <v>0</v>
      </c>
      <c r="F42" s="1094">
        <f>VLOOKUP(B42,USASFF!$A$1:$E$68,4)</f>
        <v>0</v>
      </c>
      <c r="G42" s="1095">
        <f t="shared" si="2"/>
        <v>0</v>
      </c>
      <c r="H42" s="1092">
        <f>'Note Calc'!F326</f>
        <v>0</v>
      </c>
      <c r="I42" s="1093">
        <f>'Note Calc'!G326</f>
        <v>0</v>
      </c>
      <c r="J42" s="1093">
        <f>'Note Calc'!H326</f>
        <v>0</v>
      </c>
      <c r="K42" s="1093">
        <f>'Note Calc'!I326</f>
        <v>0</v>
      </c>
      <c r="L42" s="1094">
        <f>'Note Calc'!J326</f>
        <v>0</v>
      </c>
      <c r="M42" s="4"/>
      <c r="N42" s="151"/>
      <c r="O42" s="151"/>
      <c r="P42" s="151"/>
      <c r="Q42" s="151"/>
      <c r="R42" s="151"/>
    </row>
    <row r="43" spans="2:18" ht="15.6">
      <c r="B43" s="1085">
        <v>4.05</v>
      </c>
      <c r="C43" s="1079" t="s">
        <v>133</v>
      </c>
      <c r="D43" s="1092">
        <f>VLOOKUP(B43,USASFF!$A$1:$E$68,2)</f>
        <v>0</v>
      </c>
      <c r="E43" s="1093">
        <f>VLOOKUP(B43,USASFF!$A$1:$E$68,3)</f>
        <v>0</v>
      </c>
      <c r="F43" s="1094">
        <f>VLOOKUP(B43,USASFF!$A$1:$E$68,4)</f>
        <v>0</v>
      </c>
      <c r="G43" s="1095">
        <f t="shared" si="2"/>
        <v>0</v>
      </c>
      <c r="H43" s="1092">
        <f>'Note Calc'!F335</f>
        <v>0</v>
      </c>
      <c r="I43" s="1093">
        <f>'Note Calc'!G335</f>
        <v>0</v>
      </c>
      <c r="J43" s="1093">
        <f>'Note Calc'!H335</f>
        <v>0</v>
      </c>
      <c r="K43" s="1093">
        <f>'Note Calc'!I335</f>
        <v>0</v>
      </c>
      <c r="L43" s="1094">
        <f>'Note Calc'!J335</f>
        <v>0</v>
      </c>
      <c r="M43" s="4"/>
      <c r="N43" s="151"/>
      <c r="O43" s="151"/>
      <c r="P43" s="151"/>
      <c r="Q43" s="151"/>
      <c r="R43" s="151"/>
    </row>
    <row r="44" spans="2:18" ht="15.6">
      <c r="B44" s="1085">
        <v>4.0549999999999997</v>
      </c>
      <c r="C44" s="1079" t="s">
        <v>134</v>
      </c>
      <c r="D44" s="1092">
        <f>VLOOKUP(B44,USASFF!$A$1:$E$68,2)</f>
        <v>0</v>
      </c>
      <c r="E44" s="1093">
        <f>VLOOKUP(B44,USASFF!$A$1:$E$68,3)</f>
        <v>0</v>
      </c>
      <c r="F44" s="1094">
        <f>VLOOKUP(B44,USASFF!$A$1:$E$68,4)</f>
        <v>0</v>
      </c>
      <c r="G44" s="1095">
        <f t="shared" si="2"/>
        <v>0</v>
      </c>
      <c r="H44" s="1092">
        <f>'Note Calc'!F327</f>
        <v>0</v>
      </c>
      <c r="I44" s="1093">
        <f>'Note Calc'!G327</f>
        <v>0</v>
      </c>
      <c r="J44" s="1093">
        <f>'Note Calc'!H327</f>
        <v>0</v>
      </c>
      <c r="K44" s="1093">
        <f>'Note Calc'!I327</f>
        <v>0</v>
      </c>
      <c r="L44" s="1094">
        <f>'Note Calc'!J327</f>
        <v>0</v>
      </c>
      <c r="M44" s="4"/>
      <c r="N44" s="151"/>
      <c r="O44" s="151"/>
      <c r="P44" s="151"/>
      <c r="Q44" s="151"/>
      <c r="R44" s="151"/>
    </row>
    <row r="45" spans="2:18" ht="15.6">
      <c r="B45" s="1085">
        <v>4.0599999999999996</v>
      </c>
      <c r="C45" s="1079" t="s">
        <v>135</v>
      </c>
      <c r="D45" s="1092">
        <f>VLOOKUP(B45,USASFF!$A$1:$E$68,2)</f>
        <v>0</v>
      </c>
      <c r="E45" s="1093">
        <f>VLOOKUP(B45,USASFF!$A$1:$E$68,3)</f>
        <v>0</v>
      </c>
      <c r="F45" s="1094">
        <f>VLOOKUP(B45,USASFF!$A$1:$E$68,4)</f>
        <v>0</v>
      </c>
      <c r="G45" s="1095">
        <f t="shared" si="2"/>
        <v>0</v>
      </c>
      <c r="H45" s="1092">
        <f>'Note Calc'!F340</f>
        <v>0</v>
      </c>
      <c r="I45" s="1093">
        <f>'Note Calc'!G340</f>
        <v>0</v>
      </c>
      <c r="J45" s="1093">
        <f>'Note Calc'!H340</f>
        <v>0</v>
      </c>
      <c r="K45" s="1093">
        <f>'Note Calc'!I340</f>
        <v>0</v>
      </c>
      <c r="L45" s="1094">
        <f>'Note Calc'!J340</f>
        <v>0</v>
      </c>
      <c r="M45" s="4"/>
      <c r="N45" s="151"/>
      <c r="O45" s="151"/>
      <c r="P45" s="151"/>
      <c r="Q45" s="151"/>
      <c r="R45" s="151"/>
    </row>
    <row r="46" spans="2:18" ht="15.6">
      <c r="B46" s="1085">
        <v>4.3</v>
      </c>
      <c r="C46" s="1079" t="s">
        <v>136</v>
      </c>
      <c r="D46" s="1096">
        <f>VLOOKUP(B46,USASFF!$A$1:$E$68,2)</f>
        <v>348692</v>
      </c>
      <c r="E46" s="1097">
        <f>VLOOKUP(B46,USASFF!$A$1:$E$68,3)</f>
        <v>385425</v>
      </c>
      <c r="F46" s="1098">
        <f>VLOOKUP(B46,USASFF!$A$1:$E$68,4)</f>
        <v>364583</v>
      </c>
      <c r="G46" s="1120">
        <f t="shared" si="2"/>
        <v>2.5634873492300165E-2</v>
      </c>
      <c r="H46" s="1096">
        <f>'Note Calc'!F355</f>
        <v>411504</v>
      </c>
      <c r="I46" s="1097">
        <f>'Note Calc'!G355</f>
        <v>415620</v>
      </c>
      <c r="J46" s="1097">
        <f>'Note Calc'!H355</f>
        <v>419777</v>
      </c>
      <c r="K46" s="1097">
        <f>'Note Calc'!I355</f>
        <v>423976</v>
      </c>
      <c r="L46" s="1098">
        <f>'Note Calc'!J355</f>
        <v>428216</v>
      </c>
      <c r="M46" s="4"/>
      <c r="N46" s="151"/>
      <c r="O46" s="151"/>
      <c r="P46" s="151"/>
      <c r="Q46" s="151"/>
      <c r="R46" s="151"/>
    </row>
    <row r="47" spans="2:18" ht="15.6">
      <c r="B47" s="1085">
        <v>4.5</v>
      </c>
      <c r="C47" s="1121" t="s">
        <v>137</v>
      </c>
      <c r="D47" s="1109">
        <f>SUM(D32:D46)</f>
        <v>34442988</v>
      </c>
      <c r="E47" s="1110">
        <f>SUM(E32:E46)</f>
        <v>35390248</v>
      </c>
      <c r="F47" s="1111">
        <f>SUM(F32:F46)</f>
        <v>36152637</v>
      </c>
      <c r="G47" s="1112">
        <f t="shared" si="2"/>
        <v>2.4522303298084698E-2</v>
      </c>
      <c r="H47" s="1109">
        <f>SUM(H32:H46)</f>
        <v>33937065</v>
      </c>
      <c r="I47" s="1110">
        <f>SUM(I32:I46)</f>
        <v>35204672</v>
      </c>
      <c r="J47" s="1110">
        <f>SUM(J32:J46)</f>
        <v>36296441</v>
      </c>
      <c r="K47" s="1110">
        <f>SUM(K32:K46)</f>
        <v>36994864</v>
      </c>
      <c r="L47" s="1113">
        <f>SUM(L32:L46)</f>
        <v>37794095</v>
      </c>
      <c r="M47" s="38"/>
      <c r="N47" s="1481" t="s">
        <v>1060</v>
      </c>
      <c r="O47" s="1481"/>
      <c r="P47" s="1481"/>
      <c r="Q47" s="1482">
        <f>((L47-H47)/H47)/5</f>
        <v>2.2730486563879347E-2</v>
      </c>
      <c r="R47" s="151"/>
    </row>
    <row r="48" spans="2:18" ht="15.6">
      <c r="B48" s="1085"/>
      <c r="C48" s="1080"/>
      <c r="D48" s="1114"/>
      <c r="E48" s="1115"/>
      <c r="F48" s="1116"/>
      <c r="G48" s="1122"/>
      <c r="H48" s="1114"/>
      <c r="I48" s="1115"/>
      <c r="J48" s="1115"/>
      <c r="K48" s="1115"/>
      <c r="L48" s="1116"/>
      <c r="M48" s="4"/>
    </row>
    <row r="49" spans="2:13" ht="15.6">
      <c r="B49" s="1085"/>
      <c r="C49" s="1086" t="s">
        <v>138</v>
      </c>
      <c r="D49" s="1104"/>
      <c r="E49" s="1105"/>
      <c r="F49" s="1106"/>
      <c r="G49" s="1123"/>
      <c r="H49" s="1104"/>
      <c r="I49" s="1105"/>
      <c r="J49" s="1105"/>
      <c r="K49" s="1105"/>
      <c r="L49" s="1106"/>
      <c r="M49" s="4"/>
    </row>
    <row r="50" spans="2:13" ht="15.6">
      <c r="B50" s="1085">
        <v>5.01</v>
      </c>
      <c r="C50" s="1091" t="s">
        <v>139</v>
      </c>
      <c r="D50" s="1092">
        <f>VLOOKUP(B50,USASFF!$A$1:$E$68,2)</f>
        <v>35000</v>
      </c>
      <c r="E50" s="1093">
        <f>VLOOKUP(B50,USASFF!$A$1:$E$68,3)</f>
        <v>35000</v>
      </c>
      <c r="F50" s="1094">
        <f>VLOOKUP(B50,USASFF!$A$1:$E$68,4)</f>
        <v>35000</v>
      </c>
      <c r="G50" s="1095">
        <f t="shared" ref="G50:G55" si="3">IF(OR(E50=0,D50 = 0),0,AVERAGE((E50-D50)/D50,(F50-E50)/E50))</f>
        <v>0</v>
      </c>
      <c r="H50" s="1092">
        <f>'Note Calc'!F363</f>
        <v>35000</v>
      </c>
      <c r="I50" s="1093">
        <f>'Note Calc'!G363</f>
        <v>35000</v>
      </c>
      <c r="J50" s="1093">
        <f>'Note Calc'!H363</f>
        <v>35000</v>
      </c>
      <c r="K50" s="1093">
        <f>'Note Calc'!I363</f>
        <v>35000</v>
      </c>
      <c r="L50" s="1094">
        <f>'Note Calc'!J363</f>
        <v>35000</v>
      </c>
      <c r="M50" s="36"/>
    </row>
    <row r="51" spans="2:13" ht="15.6">
      <c r="B51" s="1085">
        <v>5.0199999999999996</v>
      </c>
      <c r="C51" s="1079" t="s">
        <v>140</v>
      </c>
      <c r="D51" s="1092">
        <f>VLOOKUP(B51,USASFF!$A$1:$E$68,2)</f>
        <v>3284</v>
      </c>
      <c r="E51" s="1093">
        <f>VLOOKUP(B51,USASFF!$A$1:$E$68,3)</f>
        <v>0</v>
      </c>
      <c r="F51" s="1094">
        <f>VLOOKUP(B51,USASFF!$A$1:$E$68,4)</f>
        <v>102915</v>
      </c>
      <c r="G51" s="1095">
        <f t="shared" si="3"/>
        <v>0</v>
      </c>
      <c r="H51" s="1092">
        <f>'Note Calc'!F364</f>
        <v>0</v>
      </c>
      <c r="I51" s="1093">
        <f>'Note Calc'!G364</f>
        <v>0</v>
      </c>
      <c r="J51" s="1093">
        <f>'Note Calc'!H364</f>
        <v>0</v>
      </c>
      <c r="K51" s="1093">
        <f>'Note Calc'!I364</f>
        <v>0</v>
      </c>
      <c r="L51" s="1094">
        <f>'Note Calc'!J364</f>
        <v>0</v>
      </c>
      <c r="M51" s="4"/>
    </row>
    <row r="52" spans="2:13" ht="15.6">
      <c r="B52" s="1085">
        <v>5.03</v>
      </c>
      <c r="C52" s="1079" t="s">
        <v>215</v>
      </c>
      <c r="D52" s="1096">
        <f>VLOOKUP(B52,USASFF!$A$1:$E$68,2)</f>
        <v>0</v>
      </c>
      <c r="E52" s="1097">
        <f>VLOOKUP(B52,USASFF!$A$1:$E$68,3)</f>
        <v>0</v>
      </c>
      <c r="F52" s="1098">
        <f>VLOOKUP(B52,USASFF!$A$1:$E$68,4)</f>
        <v>0</v>
      </c>
      <c r="G52" s="1095">
        <f t="shared" si="3"/>
        <v>0</v>
      </c>
      <c r="H52" s="1096">
        <f>'Note Calc'!F369</f>
        <v>0</v>
      </c>
      <c r="I52" s="1097">
        <f>'Note Calc'!G369</f>
        <v>0</v>
      </c>
      <c r="J52" s="1097">
        <f>'Note Calc'!H369</f>
        <v>0</v>
      </c>
      <c r="K52" s="1097">
        <f>'Note Calc'!I369</f>
        <v>0</v>
      </c>
      <c r="L52" s="1098">
        <f>'Note Calc'!J369</f>
        <v>0</v>
      </c>
      <c r="M52" s="4"/>
    </row>
    <row r="53" spans="2:13" ht="15.6">
      <c r="B53" s="1085">
        <v>5.04</v>
      </c>
      <c r="C53" s="1099" t="s">
        <v>216</v>
      </c>
      <c r="D53" s="1124">
        <f>SUM(D50:D52)</f>
        <v>38284</v>
      </c>
      <c r="E53" s="1125">
        <f>SUM(E50:E52)</f>
        <v>35000</v>
      </c>
      <c r="F53" s="1102">
        <f>SUM(F50:F52)</f>
        <v>137915</v>
      </c>
      <c r="G53" s="1103">
        <f t="shared" si="3"/>
        <v>1.4273243055659208</v>
      </c>
      <c r="H53" s="1124">
        <f>SUM(H50:H52)</f>
        <v>35000</v>
      </c>
      <c r="I53" s="1125">
        <f>SUM(I50:I52)</f>
        <v>35000</v>
      </c>
      <c r="J53" s="1125">
        <f>SUM(J50:J52)</f>
        <v>35000</v>
      </c>
      <c r="K53" s="1125">
        <f>SUM(K50:K52)</f>
        <v>35000</v>
      </c>
      <c r="L53" s="1126">
        <f>SUM(L50:L52)</f>
        <v>35000</v>
      </c>
      <c r="M53" s="4"/>
    </row>
    <row r="54" spans="2:13" ht="15.6">
      <c r="B54" s="1085">
        <v>5.05</v>
      </c>
      <c r="C54" s="1099" t="s">
        <v>217</v>
      </c>
      <c r="D54" s="1109">
        <f>+D47+D53</f>
        <v>34481272</v>
      </c>
      <c r="E54" s="1110">
        <f>+E47+E53</f>
        <v>35425248</v>
      </c>
      <c r="F54" s="1111">
        <f>+F47+F53</f>
        <v>36290552</v>
      </c>
      <c r="G54" s="1112">
        <f t="shared" si="3"/>
        <v>2.5901339407716887E-2</v>
      </c>
      <c r="H54" s="1109">
        <f>+H53+H47</f>
        <v>33972065</v>
      </c>
      <c r="I54" s="1110">
        <f>+I53+I47</f>
        <v>35239672</v>
      </c>
      <c r="J54" s="1110">
        <f>+J53+J47</f>
        <v>36331441</v>
      </c>
      <c r="K54" s="1110">
        <f>+K53+K47</f>
        <v>37029864</v>
      </c>
      <c r="L54" s="1113">
        <f>+L53+L47</f>
        <v>37829095</v>
      </c>
      <c r="M54" s="16"/>
    </row>
    <row r="55" spans="2:13" ht="31.2">
      <c r="B55" s="1127">
        <v>6.01</v>
      </c>
      <c r="C55" s="1128" t="s">
        <v>141</v>
      </c>
      <c r="D55" s="1129">
        <f>+D29-D54</f>
        <v>645365</v>
      </c>
      <c r="E55" s="1110">
        <f>+E29-E54</f>
        <v>-500847</v>
      </c>
      <c r="F55" s="1111">
        <f>+F29-F54</f>
        <v>3050</v>
      </c>
      <c r="G55" s="1130">
        <f t="shared" si="3"/>
        <v>-1.391078745332623</v>
      </c>
      <c r="H55" s="1129">
        <f>+H29-H54</f>
        <v>-1114385</v>
      </c>
      <c r="I55" s="1131">
        <f>+I29-I54</f>
        <v>-2113900</v>
      </c>
      <c r="J55" s="1131">
        <f>+J29-J54</f>
        <v>-4016450</v>
      </c>
      <c r="K55" s="1131">
        <f>+K29-K54</f>
        <v>-4785714</v>
      </c>
      <c r="L55" s="1132">
        <f>+L29-L54</f>
        <v>-5452453</v>
      </c>
      <c r="M55" s="16"/>
    </row>
    <row r="56" spans="2:13" ht="15.6">
      <c r="B56" s="1085"/>
      <c r="C56" s="1099"/>
      <c r="D56" s="1104"/>
      <c r="E56" s="1105"/>
      <c r="F56" s="1106"/>
      <c r="G56" s="1133"/>
      <c r="H56" s="1104"/>
      <c r="I56" s="1105"/>
      <c r="J56" s="1105"/>
      <c r="K56" s="1105"/>
      <c r="L56" s="1106"/>
      <c r="M56" s="4"/>
    </row>
    <row r="57" spans="2:13" ht="30.6">
      <c r="B57" s="1127">
        <v>7.01</v>
      </c>
      <c r="C57" s="1134" t="s">
        <v>142</v>
      </c>
      <c r="D57" s="1096">
        <f>VLOOKUP(B57,USASFF!$A$1:$E$68,2)</f>
        <v>6384783</v>
      </c>
      <c r="E57" s="1135">
        <f>+D59</f>
        <v>7030148</v>
      </c>
      <c r="F57" s="1136">
        <f>+E59</f>
        <v>6529301</v>
      </c>
      <c r="G57" s="1137">
        <f>IF(OR(E57=0,D57 = 0),0,AVERAGE((E57-D57)/D57,(F57-E57)/E57))</f>
        <v>1.4917936156779291E-2</v>
      </c>
      <c r="H57" s="1096">
        <f>+F59</f>
        <v>6532351</v>
      </c>
      <c r="I57" s="1097">
        <f>+H59</f>
        <v>5417966</v>
      </c>
      <c r="J57" s="1097">
        <f>+I59</f>
        <v>3304066</v>
      </c>
      <c r="K57" s="1097">
        <f>+J59</f>
        <v>-712384</v>
      </c>
      <c r="L57" s="1098">
        <f>+K59</f>
        <v>-5498098</v>
      </c>
      <c r="M57" s="16"/>
    </row>
    <row r="58" spans="2:13" ht="15.6">
      <c r="B58" s="1085"/>
      <c r="C58" s="1080"/>
      <c r="D58" s="1104"/>
      <c r="E58" s="1105"/>
      <c r="F58" s="1106"/>
      <c r="G58" s="1133"/>
      <c r="H58" s="1104"/>
      <c r="I58" s="1105"/>
      <c r="J58" s="1105"/>
      <c r="K58" s="1105"/>
      <c r="L58" s="1106"/>
      <c r="M58" s="4"/>
    </row>
    <row r="59" spans="2:13" ht="15.6">
      <c r="B59" s="1085">
        <v>7.02</v>
      </c>
      <c r="C59" s="1138" t="s">
        <v>143</v>
      </c>
      <c r="D59" s="1100">
        <f>+D55+D57</f>
        <v>7030148</v>
      </c>
      <c r="E59" s="1139">
        <f>+E55+E57</f>
        <v>6529301</v>
      </c>
      <c r="F59" s="1140">
        <f>+F55+F57</f>
        <v>6532351</v>
      </c>
      <c r="G59" s="1141">
        <f>IF(OR(E59=0,D59 = 0),0,AVERAGE((E59-D59)/D59,(F59-E59)/E59))</f>
        <v>-3.5387807043634444E-2</v>
      </c>
      <c r="H59" s="1100">
        <f>+H55+H57</f>
        <v>5417966</v>
      </c>
      <c r="I59" s="1101">
        <f>+I55+I57</f>
        <v>3304066</v>
      </c>
      <c r="J59" s="1101">
        <f>+J55+J57</f>
        <v>-712384</v>
      </c>
      <c r="K59" s="1101">
        <f>+K55+K57</f>
        <v>-5498098</v>
      </c>
      <c r="L59" s="1102">
        <f>+L55+L57</f>
        <v>-10950551</v>
      </c>
      <c r="M59" s="39"/>
    </row>
    <row r="60" spans="2:13" ht="15.6">
      <c r="B60" s="1085"/>
      <c r="C60" s="1142"/>
      <c r="D60" s="1092"/>
      <c r="E60" s="1093"/>
      <c r="F60" s="1094"/>
      <c r="G60" s="1143"/>
      <c r="H60" s="1092"/>
      <c r="I60" s="1093"/>
      <c r="J60" s="1093"/>
      <c r="K60" s="1093"/>
      <c r="L60" s="1094"/>
      <c r="M60" s="40"/>
    </row>
    <row r="61" spans="2:13" ht="15.6">
      <c r="B61" s="1085">
        <v>8.01</v>
      </c>
      <c r="C61" s="1099" t="s">
        <v>144</v>
      </c>
      <c r="D61" s="1144">
        <f>VLOOKUP(B61,USASFF!$A$1:$E$68,2)</f>
        <v>0</v>
      </c>
      <c r="E61" s="1145">
        <f>VLOOKUP(B61,USASFF!$A$1:$E$68,3)</f>
        <v>0</v>
      </c>
      <c r="F61" s="1146">
        <f>VLOOKUP(B61,USASFF!$A$1:$E$68,4)</f>
        <v>0</v>
      </c>
      <c r="G61" s="1147">
        <f>IF(OR(E61=0,D61 = 0),0,AVERAGE((E61-D61)/D61,(F61-E61)/E61))</f>
        <v>0</v>
      </c>
      <c r="H61" s="1144">
        <f>'Note Calc'!F377</f>
        <v>0</v>
      </c>
      <c r="I61" s="1145">
        <f>'Note Calc'!G377</f>
        <v>0</v>
      </c>
      <c r="J61" s="1145">
        <f>'Note Calc'!H377</f>
        <v>0</v>
      </c>
      <c r="K61" s="1145">
        <f>'Note Calc'!I377</f>
        <v>0</v>
      </c>
      <c r="L61" s="1146">
        <f>'Note Calc'!J377</f>
        <v>0</v>
      </c>
      <c r="M61" s="16"/>
    </row>
    <row r="62" spans="2:13" ht="15.6">
      <c r="B62" s="1085"/>
      <c r="C62" s="1099"/>
      <c r="D62" s="1104"/>
      <c r="E62" s="1105"/>
      <c r="F62" s="1106"/>
      <c r="G62" s="1133"/>
      <c r="H62" s="1104"/>
      <c r="I62" s="1105"/>
      <c r="J62" s="1105"/>
      <c r="K62" s="1105"/>
      <c r="L62" s="1106"/>
      <c r="M62" s="4"/>
    </row>
    <row r="63" spans="2:13" ht="15.6">
      <c r="B63" s="1085" t="s">
        <v>480</v>
      </c>
      <c r="C63" s="1148" t="s">
        <v>145</v>
      </c>
      <c r="D63" s="1104"/>
      <c r="E63" s="1105"/>
      <c r="F63" s="1106"/>
      <c r="G63" s="1133"/>
      <c r="H63" s="1104"/>
      <c r="I63" s="1105"/>
      <c r="J63" s="1105"/>
      <c r="K63" s="1105"/>
      <c r="L63" s="1106"/>
      <c r="M63" s="41"/>
    </row>
    <row r="64" spans="2:13" ht="15.6">
      <c r="B64" s="1085">
        <v>9.01</v>
      </c>
      <c r="C64" s="1149" t="s">
        <v>146</v>
      </c>
      <c r="D64" s="1117">
        <v>0</v>
      </c>
      <c r="E64" s="1118">
        <v>0</v>
      </c>
      <c r="F64" s="1119">
        <v>0</v>
      </c>
      <c r="G64" s="1150">
        <f t="shared" ref="G64:G73" si="4">IF(OR(E64=0,D64 = 0),0,AVERAGE((E64-D64)/D64,(F64-E64)/E64))</f>
        <v>0</v>
      </c>
      <c r="H64" s="1117">
        <f>'Note Calc'!F381</f>
        <v>0</v>
      </c>
      <c r="I64" s="1118">
        <f>'Note Calc'!G381</f>
        <v>0</v>
      </c>
      <c r="J64" s="1118">
        <f>'Note Calc'!H381</f>
        <v>0</v>
      </c>
      <c r="K64" s="1118">
        <f>'Note Calc'!I381</f>
        <v>0</v>
      </c>
      <c r="L64" s="1119">
        <f>'Note Calc'!J381</f>
        <v>0</v>
      </c>
      <c r="M64" s="42"/>
    </row>
    <row r="65" spans="2:13" ht="15.6">
      <c r="B65" s="1085">
        <v>9.02</v>
      </c>
      <c r="C65" s="1149" t="s">
        <v>147</v>
      </c>
      <c r="D65" s="1117">
        <v>0</v>
      </c>
      <c r="E65" s="1118">
        <v>0</v>
      </c>
      <c r="F65" s="1119">
        <v>0</v>
      </c>
      <c r="G65" s="1150">
        <f t="shared" si="4"/>
        <v>0</v>
      </c>
      <c r="H65" s="1117">
        <f>'Note Calc'!F382</f>
        <v>0</v>
      </c>
      <c r="I65" s="1118">
        <f>'Note Calc'!G382</f>
        <v>0</v>
      </c>
      <c r="J65" s="1118">
        <f>'Note Calc'!H382</f>
        <v>0</v>
      </c>
      <c r="K65" s="1118">
        <f>'Note Calc'!I382</f>
        <v>0</v>
      </c>
      <c r="L65" s="1119">
        <f>'Note Calc'!J382</f>
        <v>0</v>
      </c>
      <c r="M65" s="42"/>
    </row>
    <row r="66" spans="2:13" ht="15.6">
      <c r="B66" s="1085">
        <v>9.0299999999999994</v>
      </c>
      <c r="C66" s="1149" t="s">
        <v>148</v>
      </c>
      <c r="D66" s="1117">
        <v>0</v>
      </c>
      <c r="E66" s="1118">
        <v>0</v>
      </c>
      <c r="F66" s="1119">
        <v>0</v>
      </c>
      <c r="G66" s="1150">
        <f t="shared" si="4"/>
        <v>0</v>
      </c>
      <c r="H66" s="1117">
        <f>+'Note Calc'!F383</f>
        <v>0</v>
      </c>
      <c r="I66" s="1118">
        <f>+'Note Calc'!G383</f>
        <v>0</v>
      </c>
      <c r="J66" s="1118">
        <f>+'Note Calc'!H383</f>
        <v>0</v>
      </c>
      <c r="K66" s="1118">
        <f>+'Note Calc'!I383</f>
        <v>0</v>
      </c>
      <c r="L66" s="1119">
        <f>+'Note Calc'!J383</f>
        <v>0</v>
      </c>
      <c r="M66" s="42"/>
    </row>
    <row r="67" spans="2:13" ht="15.6">
      <c r="B67" s="1085">
        <v>9.0399999999999991</v>
      </c>
      <c r="C67" s="1149" t="s">
        <v>149</v>
      </c>
      <c r="D67" s="1117">
        <v>0</v>
      </c>
      <c r="E67" s="1118">
        <v>0</v>
      </c>
      <c r="F67" s="1119">
        <v>0</v>
      </c>
      <c r="G67" s="1150">
        <f t="shared" si="4"/>
        <v>0</v>
      </c>
      <c r="H67" s="1117">
        <f>'Note Calc'!F384</f>
        <v>0</v>
      </c>
      <c r="I67" s="1118">
        <f>'Note Calc'!G384</f>
        <v>0</v>
      </c>
      <c r="J67" s="1118">
        <f>'Note Calc'!H384</f>
        <v>0</v>
      </c>
      <c r="K67" s="1118">
        <f>'Note Calc'!I384</f>
        <v>0</v>
      </c>
      <c r="L67" s="1119">
        <f>'Note Calc'!J384</f>
        <v>0</v>
      </c>
      <c r="M67" s="42"/>
    </row>
    <row r="68" spans="2:13" ht="15.6">
      <c r="B68" s="1085">
        <v>9.0449999999999999</v>
      </c>
      <c r="C68" s="1149" t="s">
        <v>150</v>
      </c>
      <c r="D68" s="1117">
        <v>0</v>
      </c>
      <c r="E68" s="1118">
        <v>0</v>
      </c>
      <c r="F68" s="1119">
        <v>0</v>
      </c>
      <c r="G68" s="1150">
        <f t="shared" si="4"/>
        <v>0</v>
      </c>
      <c r="H68" s="1117">
        <f>'Note Calc'!F385</f>
        <v>0</v>
      </c>
      <c r="I68" s="1118">
        <f>'Note Calc'!G385</f>
        <v>0</v>
      </c>
      <c r="J68" s="1118">
        <f>'Note Calc'!H385</f>
        <v>0</v>
      </c>
      <c r="K68" s="1118">
        <f>'Note Calc'!I385</f>
        <v>0</v>
      </c>
      <c r="L68" s="1119">
        <f>'Note Calc'!J385</f>
        <v>0</v>
      </c>
      <c r="M68" s="42"/>
    </row>
    <row r="69" spans="2:13" ht="15.6">
      <c r="B69" s="1085">
        <v>9.0500000000000007</v>
      </c>
      <c r="C69" s="1149" t="s">
        <v>151</v>
      </c>
      <c r="D69" s="1117">
        <v>0</v>
      </c>
      <c r="E69" s="1118">
        <v>0</v>
      </c>
      <c r="F69" s="1119">
        <v>0</v>
      </c>
      <c r="G69" s="1150">
        <f t="shared" si="4"/>
        <v>0</v>
      </c>
      <c r="H69" s="1117">
        <f>'Note Calc'!F386</f>
        <v>0</v>
      </c>
      <c r="I69" s="1118">
        <f>'Note Calc'!G386</f>
        <v>0</v>
      </c>
      <c r="J69" s="1118">
        <f>'Note Calc'!H386</f>
        <v>0</v>
      </c>
      <c r="K69" s="1118">
        <f>'Note Calc'!I386</f>
        <v>0</v>
      </c>
      <c r="L69" s="1119">
        <f>'Note Calc'!J386</f>
        <v>0</v>
      </c>
      <c r="M69" s="42"/>
    </row>
    <row r="70" spans="2:13" ht="15.6">
      <c r="B70" s="1085">
        <v>9.06</v>
      </c>
      <c r="C70" s="1149" t="s">
        <v>152</v>
      </c>
      <c r="D70" s="1117">
        <v>0</v>
      </c>
      <c r="E70" s="1118">
        <v>0</v>
      </c>
      <c r="F70" s="1119">
        <v>0</v>
      </c>
      <c r="G70" s="1150">
        <f t="shared" si="4"/>
        <v>0</v>
      </c>
      <c r="H70" s="1117">
        <f>'Note Calc'!F387</f>
        <v>0</v>
      </c>
      <c r="I70" s="1118">
        <f>'Note Calc'!G387</f>
        <v>0</v>
      </c>
      <c r="J70" s="1118">
        <f>'Note Calc'!H387</f>
        <v>0</v>
      </c>
      <c r="K70" s="1118">
        <f>'Note Calc'!I387</f>
        <v>0</v>
      </c>
      <c r="L70" s="1119">
        <f>'Note Calc'!J387</f>
        <v>0</v>
      </c>
      <c r="M70" s="42"/>
    </row>
    <row r="71" spans="2:13" ht="15.6">
      <c r="B71" s="1085">
        <v>9.07</v>
      </c>
      <c r="C71" s="1149" t="s">
        <v>153</v>
      </c>
      <c r="D71" s="1117">
        <v>0</v>
      </c>
      <c r="E71" s="1118">
        <v>0</v>
      </c>
      <c r="F71" s="1119">
        <v>0</v>
      </c>
      <c r="G71" s="1150">
        <f t="shared" si="4"/>
        <v>0</v>
      </c>
      <c r="H71" s="1117">
        <f>'Note Calc'!F388</f>
        <v>0</v>
      </c>
      <c r="I71" s="1118">
        <f>'Note Calc'!G388</f>
        <v>0</v>
      </c>
      <c r="J71" s="1118">
        <f>'Note Calc'!H388</f>
        <v>0</v>
      </c>
      <c r="K71" s="1118">
        <f>'Note Calc'!I388</f>
        <v>0</v>
      </c>
      <c r="L71" s="1119">
        <f>'Note Calc'!J388</f>
        <v>0</v>
      </c>
      <c r="M71" s="42"/>
    </row>
    <row r="72" spans="2:13" ht="15.6">
      <c r="B72" s="1085">
        <v>9.08</v>
      </c>
      <c r="C72" s="1151" t="s">
        <v>154</v>
      </c>
      <c r="D72" s="1096">
        <f>SUM(D64:D71)</f>
        <v>0</v>
      </c>
      <c r="E72" s="1135">
        <f>SUM(E64:E71)</f>
        <v>0</v>
      </c>
      <c r="F72" s="1136">
        <f>SUM(F64:F71)</f>
        <v>0</v>
      </c>
      <c r="G72" s="1137">
        <f t="shared" si="4"/>
        <v>0</v>
      </c>
      <c r="H72" s="1096">
        <f>SUM(H64:H71)</f>
        <v>0</v>
      </c>
      <c r="I72" s="1097">
        <f>SUM(I64:I71)</f>
        <v>0</v>
      </c>
      <c r="J72" s="1097">
        <f>SUM(J64:J71)</f>
        <v>0</v>
      </c>
      <c r="K72" s="1097">
        <f>SUM(K64:K71)</f>
        <v>0</v>
      </c>
      <c r="L72" s="1098">
        <f>SUM(L64:L71)</f>
        <v>0</v>
      </c>
      <c r="M72" s="42"/>
    </row>
    <row r="73" spans="2:13" ht="15.6">
      <c r="B73" s="1085">
        <v>10.01</v>
      </c>
      <c r="C73" s="1152" t="s">
        <v>155</v>
      </c>
      <c r="D73" s="1109">
        <f>+D59-D61-D72</f>
        <v>7030148</v>
      </c>
      <c r="E73" s="1110">
        <f>+E59-E61-E72</f>
        <v>6529301</v>
      </c>
      <c r="F73" s="1111">
        <f>+F59-F61-F72</f>
        <v>6532351</v>
      </c>
      <c r="G73" s="1153">
        <f t="shared" si="4"/>
        <v>-3.5387807043634444E-2</v>
      </c>
      <c r="H73" s="1109">
        <f>+H59-H61-H72</f>
        <v>5417966</v>
      </c>
      <c r="I73" s="1110">
        <f>+I59-I61-I72</f>
        <v>3304066</v>
      </c>
      <c r="J73" s="1110">
        <f>+J59-J61-J72</f>
        <v>-712384</v>
      </c>
      <c r="K73" s="1110">
        <f>+K59-K61-K72</f>
        <v>-5498098</v>
      </c>
      <c r="L73" s="1113">
        <f>+L59-L61-L72</f>
        <v>-10950551</v>
      </c>
      <c r="M73" s="42"/>
    </row>
    <row r="74" spans="2:13" ht="15.6">
      <c r="B74" s="1085"/>
      <c r="C74" s="1099"/>
      <c r="D74" s="1114"/>
      <c r="E74" s="1115"/>
      <c r="F74" s="1116"/>
      <c r="G74" s="1133"/>
      <c r="H74" s="1114"/>
      <c r="I74" s="1115"/>
      <c r="J74" s="1115"/>
      <c r="K74" s="1115"/>
      <c r="L74" s="1116"/>
      <c r="M74" s="42"/>
    </row>
    <row r="75" spans="2:13" ht="15.6">
      <c r="B75" s="1085"/>
      <c r="C75" s="1154" t="s">
        <v>156</v>
      </c>
      <c r="D75" s="1104"/>
      <c r="E75" s="1105"/>
      <c r="F75" s="1106"/>
      <c r="G75" s="1133"/>
      <c r="H75" s="1104"/>
      <c r="I75" s="1105"/>
      <c r="J75" s="1105"/>
      <c r="K75" s="1105"/>
      <c r="L75" s="1106"/>
      <c r="M75" s="42"/>
    </row>
    <row r="76" spans="2:13" ht="15.6">
      <c r="B76" s="1085">
        <v>11.01</v>
      </c>
      <c r="C76" s="1079" t="s">
        <v>157</v>
      </c>
      <c r="D76" s="1117">
        <v>0</v>
      </c>
      <c r="E76" s="1118">
        <v>0</v>
      </c>
      <c r="F76" s="1119">
        <v>0</v>
      </c>
      <c r="G76" s="1150">
        <f>IF(OR(E76=0,D76 = 0),0,AVERAGE((E76-D76)/D76,(F76-E76)/E76))</f>
        <v>0</v>
      </c>
      <c r="H76" s="1117">
        <f>'Note Calc'!F37</f>
        <v>0</v>
      </c>
      <c r="I76" s="1118">
        <f>'Note Calc'!G37</f>
        <v>0</v>
      </c>
      <c r="J76" s="1118">
        <f>'Note Calc'!H37</f>
        <v>0</v>
      </c>
      <c r="K76" s="1118">
        <f>'Note Calc'!I37</f>
        <v>0</v>
      </c>
      <c r="L76" s="1119">
        <f>'Note Calc'!J37</f>
        <v>0</v>
      </c>
      <c r="M76" s="42"/>
    </row>
    <row r="77" spans="2:13" ht="15.6">
      <c r="B77" s="1085">
        <v>11.02</v>
      </c>
      <c r="C77" s="1079" t="s">
        <v>158</v>
      </c>
      <c r="D77" s="1117">
        <v>0</v>
      </c>
      <c r="E77" s="1118">
        <v>0</v>
      </c>
      <c r="F77" s="1119">
        <v>0</v>
      </c>
      <c r="G77" s="1150">
        <f>IF(OR(E77=0,D77 = 0),0,AVERAGE((E77-D77)/D77,(F77-E77)/E77))</f>
        <v>0</v>
      </c>
      <c r="H77" s="1117">
        <f>'Note Calc'!F44</f>
        <v>0</v>
      </c>
      <c r="I77" s="1118">
        <f>'Note Calc'!G44</f>
        <v>903671</v>
      </c>
      <c r="J77" s="1118">
        <f>'Note Calc'!H44</f>
        <v>1785476</v>
      </c>
      <c r="K77" s="1118">
        <f>'Note Calc'!I44</f>
        <v>1785476</v>
      </c>
      <c r="L77" s="1119">
        <f>'Note Calc'!J44</f>
        <v>1785476</v>
      </c>
      <c r="M77" s="42"/>
    </row>
    <row r="78" spans="2:13" ht="15.6">
      <c r="B78" s="1085"/>
      <c r="C78" s="1080"/>
      <c r="D78" s="1155"/>
      <c r="E78" s="1135"/>
      <c r="F78" s="1136"/>
      <c r="G78" s="1137"/>
      <c r="H78" s="1155"/>
      <c r="I78" s="1135"/>
      <c r="J78" s="1135"/>
      <c r="K78" s="1135"/>
      <c r="L78" s="1136"/>
      <c r="M78" s="42"/>
    </row>
    <row r="79" spans="2:13" ht="15.6">
      <c r="B79" s="1085">
        <v>11.3</v>
      </c>
      <c r="C79" s="1079" t="s">
        <v>159</v>
      </c>
      <c r="D79" s="1156"/>
      <c r="E79" s="1157"/>
      <c r="F79" s="1158"/>
      <c r="G79" s="1137">
        <f>IF(OR(E79=0,D79 = 0),0,AVERAGE((E79-D79)/D79,(F79-E79)/E79))</f>
        <v>0</v>
      </c>
      <c r="H79" s="1156">
        <f>+H76+H77</f>
        <v>0</v>
      </c>
      <c r="I79" s="1157">
        <f>+H79+I76+I77</f>
        <v>903671</v>
      </c>
      <c r="J79" s="1157">
        <f>+I79+J76+J77</f>
        <v>2689147</v>
      </c>
      <c r="K79" s="1157">
        <f>+J79+K76+K77</f>
        <v>4474623</v>
      </c>
      <c r="L79" s="1158">
        <f>+K79+L76+L77</f>
        <v>6260099</v>
      </c>
      <c r="M79" s="42"/>
    </row>
    <row r="80" spans="2:13" ht="31.2">
      <c r="B80" s="1127">
        <v>12.01</v>
      </c>
      <c r="C80" s="1128" t="s">
        <v>160</v>
      </c>
      <c r="D80" s="1109">
        <f>+D73+D79</f>
        <v>7030148</v>
      </c>
      <c r="E80" s="1110">
        <f>+E73+E79</f>
        <v>6529301</v>
      </c>
      <c r="F80" s="1113">
        <f>+F73+F79</f>
        <v>6532351</v>
      </c>
      <c r="G80" s="1159">
        <f>IF(OR(E80=0,D80 = 0),0,AVERAGE((E80-D80)/D80,(F80-E80)/E80))</f>
        <v>-3.5387807043634444E-2</v>
      </c>
      <c r="H80" s="1109">
        <f>+H73+H79</f>
        <v>5417966</v>
      </c>
      <c r="I80" s="1110">
        <f>+I73+I79</f>
        <v>4207737</v>
      </c>
      <c r="J80" s="1110">
        <f>+J73+J79</f>
        <v>1976763</v>
      </c>
      <c r="K80" s="1110">
        <f>+K73+K79</f>
        <v>-1023475</v>
      </c>
      <c r="L80" s="1113">
        <f>+L73+L79</f>
        <v>-4690452</v>
      </c>
      <c r="M80" s="42"/>
    </row>
    <row r="81" spans="1:13" ht="15.6">
      <c r="B81" s="1085"/>
      <c r="C81" s="1080"/>
      <c r="D81" s="1114"/>
      <c r="E81" s="1115"/>
      <c r="F81" s="1116"/>
      <c r="G81" s="1160"/>
      <c r="H81" s="1114"/>
      <c r="I81" s="1115"/>
      <c r="J81" s="1115"/>
      <c r="K81" s="1115"/>
      <c r="L81" s="1116"/>
      <c r="M81" s="42"/>
    </row>
    <row r="82" spans="1:13" s="44" customFormat="1" ht="15.6">
      <c r="A82" s="151"/>
      <c r="B82" s="1085"/>
      <c r="C82" s="1080"/>
      <c r="D82" s="1104"/>
      <c r="E82" s="1105"/>
      <c r="F82" s="1106"/>
      <c r="G82" s="1133"/>
      <c r="H82" s="1104"/>
      <c r="I82" s="1105"/>
      <c r="J82" s="1105"/>
      <c r="K82" s="1105"/>
      <c r="L82" s="1106"/>
      <c r="M82" s="42"/>
    </row>
    <row r="83" spans="1:13" ht="15.6">
      <c r="B83" s="1085"/>
      <c r="C83" s="1148" t="s">
        <v>161</v>
      </c>
      <c r="D83" s="1104"/>
      <c r="E83" s="1105"/>
      <c r="F83" s="1106"/>
      <c r="G83" s="1133"/>
      <c r="H83" s="1104"/>
      <c r="I83" s="1105"/>
      <c r="J83" s="1105"/>
      <c r="K83" s="1105"/>
      <c r="L83" s="1106"/>
      <c r="M83" s="42"/>
    </row>
    <row r="84" spans="1:13" ht="15.6">
      <c r="B84" s="1085">
        <v>13.01</v>
      </c>
      <c r="C84" s="1149" t="s">
        <v>162</v>
      </c>
      <c r="D84" s="1117">
        <v>0</v>
      </c>
      <c r="E84" s="1118">
        <v>0</v>
      </c>
      <c r="F84" s="1119">
        <v>0</v>
      </c>
      <c r="G84" s="1150">
        <f>IF(OR(E84=0,D84 = 0),0,AVERAGE((E84-D84)/D84,(F84-E84)/E84))</f>
        <v>0</v>
      </c>
      <c r="H84" s="1117">
        <v>0</v>
      </c>
      <c r="I84" s="1118">
        <v>0</v>
      </c>
      <c r="J84" s="1118">
        <v>0</v>
      </c>
      <c r="K84" s="1118">
        <v>0</v>
      </c>
      <c r="L84" s="1119">
        <v>0</v>
      </c>
      <c r="M84" s="42"/>
    </row>
    <row r="85" spans="1:13" ht="15.6">
      <c r="B85" s="1085">
        <v>13.02</v>
      </c>
      <c r="C85" s="1149" t="s">
        <v>163</v>
      </c>
      <c r="D85" s="1117">
        <v>0</v>
      </c>
      <c r="E85" s="1118">
        <v>0</v>
      </c>
      <c r="F85" s="1119">
        <v>0</v>
      </c>
      <c r="G85" s="1150">
        <f>IF(OR(E85=0,D85 = 0),0,AVERAGE((E85-D85)/D85,(F85-E85)/E85))</f>
        <v>0</v>
      </c>
      <c r="H85" s="1117">
        <f>+'Note Calc'!F51</f>
        <v>0</v>
      </c>
      <c r="I85" s="1118">
        <f>+'Note Calc'!G51</f>
        <v>0</v>
      </c>
      <c r="J85" s="1118">
        <f>+'Note Calc'!H51</f>
        <v>0</v>
      </c>
      <c r="K85" s="1118">
        <f>+'Note Calc'!I51</f>
        <v>0</v>
      </c>
      <c r="L85" s="1119">
        <f>+'Note Calc'!J51</f>
        <v>0</v>
      </c>
      <c r="M85" s="42"/>
    </row>
    <row r="86" spans="1:13" ht="15.6">
      <c r="B86" s="1085"/>
      <c r="C86" s="1080"/>
      <c r="D86" s="1155"/>
      <c r="E86" s="1135"/>
      <c r="F86" s="1136"/>
      <c r="G86" s="1137"/>
      <c r="H86" s="1155"/>
      <c r="I86" s="1135"/>
      <c r="J86" s="1135"/>
      <c r="K86" s="1135"/>
      <c r="L86" s="1136"/>
      <c r="M86" s="42"/>
    </row>
    <row r="87" spans="1:13" ht="15.6">
      <c r="B87" s="1085">
        <v>13.03</v>
      </c>
      <c r="C87" s="1079" t="s">
        <v>164</v>
      </c>
      <c r="D87" s="1100">
        <f>+D84+D85</f>
        <v>0</v>
      </c>
      <c r="E87" s="1101">
        <f>+E84+E85</f>
        <v>0</v>
      </c>
      <c r="F87" s="1102"/>
      <c r="G87" s="1141">
        <f>IF(OR(E87=0,D87 = 0),0,AVERAGE((E87-D87)/D87,(F87-E87)/E87))</f>
        <v>0</v>
      </c>
      <c r="H87" s="1100">
        <f>+H84+H85</f>
        <v>0</v>
      </c>
      <c r="I87" s="1101">
        <f>+H87+I84+I85</f>
        <v>0</v>
      </c>
      <c r="J87" s="1101">
        <f>+I87+J84+J85</f>
        <v>0</v>
      </c>
      <c r="K87" s="1101">
        <f>+J87+K84+K85</f>
        <v>0</v>
      </c>
      <c r="L87" s="1102">
        <f>+K87+L84+L85</f>
        <v>0</v>
      </c>
      <c r="M87" s="42"/>
    </row>
    <row r="88" spans="1:13" ht="15.6">
      <c r="B88" s="1085"/>
      <c r="C88" s="1080"/>
      <c r="D88" s="1104"/>
      <c r="E88" s="1105"/>
      <c r="F88" s="1106"/>
      <c r="G88" s="1133"/>
      <c r="H88" s="1104"/>
      <c r="I88" s="1105"/>
      <c r="J88" s="1105"/>
      <c r="K88" s="1105"/>
      <c r="L88" s="1106"/>
      <c r="M88" s="42"/>
    </row>
    <row r="89" spans="1:13" ht="15.6">
      <c r="B89" s="1085">
        <v>14.01</v>
      </c>
      <c r="C89" s="1079" t="s">
        <v>165</v>
      </c>
      <c r="D89" s="1117">
        <v>0</v>
      </c>
      <c r="E89" s="1118">
        <v>0</v>
      </c>
      <c r="F89" s="1119">
        <v>0</v>
      </c>
      <c r="G89" s="1150">
        <f>IF(OR(E89=0,D89 = 0),0,AVERAGE((E89-D89)/D89,(F89-E89)/E89))</f>
        <v>0</v>
      </c>
      <c r="H89" s="1117">
        <v>0</v>
      </c>
      <c r="I89" s="1118">
        <v>0</v>
      </c>
      <c r="J89" s="1118">
        <v>0</v>
      </c>
      <c r="K89" s="1118">
        <v>0</v>
      </c>
      <c r="L89" s="1119">
        <v>0</v>
      </c>
      <c r="M89" s="42"/>
    </row>
    <row r="90" spans="1:13" ht="15.6">
      <c r="B90" s="1085"/>
      <c r="C90" s="1080"/>
      <c r="D90" s="1161"/>
      <c r="E90" s="1105"/>
      <c r="F90" s="1106"/>
      <c r="G90" s="1133"/>
      <c r="H90" s="1161"/>
      <c r="I90" s="1162"/>
      <c r="J90" s="1162"/>
      <c r="K90" s="1162"/>
      <c r="L90" s="1163"/>
      <c r="M90" s="42"/>
    </row>
    <row r="91" spans="1:13" ht="16.2" thickBot="1">
      <c r="B91" s="1085">
        <v>15.01</v>
      </c>
      <c r="C91" s="1099" t="s">
        <v>166</v>
      </c>
      <c r="D91" s="1164">
        <f>+D80+D84+D85+D89</f>
        <v>7030148</v>
      </c>
      <c r="E91" s="1165">
        <f>+E80+E84+E85+E89</f>
        <v>6529301</v>
      </c>
      <c r="F91" s="1165">
        <f>+F80+F84+F85+F89</f>
        <v>6532351</v>
      </c>
      <c r="G91" s="1166">
        <f>IF(OR(E91=0,D91 = 0),0,AVERAGE((E91-D91)/D91,(F91-E91)/E91))</f>
        <v>-3.5387807043634444E-2</v>
      </c>
      <c r="H91" s="1165">
        <f>+H80+H87+H89</f>
        <v>5417966</v>
      </c>
      <c r="I91" s="1165">
        <f>+I80+I87+I89</f>
        <v>4207737</v>
      </c>
      <c r="J91" s="1165">
        <f>+J80+J87+J89</f>
        <v>1976763</v>
      </c>
      <c r="K91" s="1165">
        <f>+K80+K87+K89</f>
        <v>-1023475</v>
      </c>
      <c r="L91" s="1167">
        <f>+L80+L87+L89</f>
        <v>-4690452</v>
      </c>
      <c r="M91" s="42"/>
    </row>
    <row r="92" spans="1:13" ht="14.4" thickTop="1">
      <c r="B92" s="14"/>
      <c r="C92" s="1044"/>
      <c r="D92" s="1047"/>
      <c r="E92" s="1048"/>
      <c r="F92" s="1048"/>
      <c r="G92" s="1049"/>
      <c r="H92" s="1048"/>
      <c r="I92" s="1048"/>
      <c r="J92" s="1048"/>
      <c r="K92" s="1048"/>
      <c r="L92" s="1050"/>
    </row>
    <row r="93" spans="1:13" s="151" customFormat="1" ht="13.8">
      <c r="B93" s="14">
        <v>20.010000000000002</v>
      </c>
      <c r="C93" s="1044" t="s">
        <v>894</v>
      </c>
      <c r="D93" s="1047">
        <f>+'Note Calc'!C396</f>
        <v>0</v>
      </c>
      <c r="E93" s="1048">
        <f>+'Note Calc'!D396</f>
        <v>0</v>
      </c>
      <c r="F93" s="1048">
        <f>+'Note Calc'!E396</f>
        <v>0</v>
      </c>
      <c r="G93" s="1051"/>
      <c r="H93" s="1048">
        <f>+'Note Calc'!E396</f>
        <v>0</v>
      </c>
      <c r="I93" s="1048">
        <f>+'Note Calc'!G396</f>
        <v>0</v>
      </c>
      <c r="J93" s="1048">
        <f>+'Note Calc'!H396</f>
        <v>0</v>
      </c>
      <c r="K93" s="1048">
        <f>+'Note Calc'!I396</f>
        <v>0</v>
      </c>
      <c r="L93" s="1050">
        <f>+'Note Calc'!J396</f>
        <v>0</v>
      </c>
    </row>
    <row r="94" spans="1:13" s="151" customFormat="1" ht="14.4" thickBot="1">
      <c r="B94" s="14">
        <v>20.015000000000001</v>
      </c>
      <c r="C94" s="1044" t="s">
        <v>895</v>
      </c>
      <c r="D94" s="1052">
        <f>+'Note Calc'!C397</f>
        <v>0</v>
      </c>
      <c r="E94" s="1053">
        <f>+'Note Calc'!D397</f>
        <v>0</v>
      </c>
      <c r="F94" s="1053">
        <f>+'Note Calc'!E397</f>
        <v>0</v>
      </c>
      <c r="G94" s="1054"/>
      <c r="H94" s="1053">
        <f>+'Note Calc'!E397</f>
        <v>0</v>
      </c>
      <c r="I94" s="1053">
        <f>+'Note Calc'!G397</f>
        <v>0</v>
      </c>
      <c r="J94" s="1053">
        <f>+'Note Calc'!H397</f>
        <v>0</v>
      </c>
      <c r="K94" s="1053">
        <f>+'Note Calc'!I397</f>
        <v>0</v>
      </c>
      <c r="L94" s="1055">
        <f>+'Note Calc'!J397</f>
        <v>0</v>
      </c>
    </row>
    <row r="95" spans="1:13" s="151" customFormat="1" ht="14.4" thickTop="1">
      <c r="B95" s="14"/>
      <c r="C95" s="1044"/>
      <c r="D95" s="1044"/>
      <c r="E95" s="1044"/>
      <c r="F95" s="1044"/>
      <c r="G95" s="1044"/>
      <c r="H95" s="1044"/>
      <c r="I95" s="1044"/>
      <c r="J95" s="1044"/>
      <c r="K95" s="1056"/>
      <c r="L95" s="1044"/>
    </row>
    <row r="96" spans="1:13" ht="13.8">
      <c r="B96" s="4"/>
      <c r="C96" s="1444" t="s">
        <v>1015</v>
      </c>
      <c r="D96" s="1445"/>
      <c r="E96" s="1446"/>
      <c r="F96" s="1447"/>
      <c r="G96" s="1448"/>
      <c r="H96" s="1445"/>
      <c r="I96" s="1446"/>
      <c r="J96" s="1446"/>
      <c r="K96" s="1446"/>
      <c r="L96" s="1447"/>
    </row>
    <row r="97" spans="2:12" s="1041" customFormat="1" ht="15.6">
      <c r="B97" s="1449">
        <v>21.01</v>
      </c>
      <c r="C97" s="1450" t="s">
        <v>1016</v>
      </c>
      <c r="D97" s="1445"/>
      <c r="E97" s="1445"/>
      <c r="F97" s="1445"/>
      <c r="G97" s="1448">
        <f t="shared" ref="G97:G102" si="5">IF(OR(E97=0,D97 = 0),0,AVERAGE((E97-D97)/D97,(F97-E97)/E97))</f>
        <v>0</v>
      </c>
      <c r="H97" s="1445"/>
      <c r="I97" s="1445"/>
      <c r="J97" s="1445"/>
      <c r="K97" s="1445"/>
      <c r="L97" s="1445"/>
    </row>
    <row r="98" spans="2:12" s="1041" customFormat="1" ht="15.6">
      <c r="B98" s="1449">
        <v>21.02</v>
      </c>
      <c r="C98" s="1450" t="s">
        <v>1017</v>
      </c>
      <c r="D98" s="1445"/>
      <c r="E98" s="1445"/>
      <c r="F98" s="1445"/>
      <c r="G98" s="1448">
        <f t="shared" si="5"/>
        <v>0</v>
      </c>
      <c r="H98" s="1445"/>
      <c r="I98" s="1445"/>
      <c r="J98" s="1445"/>
      <c r="K98" s="1445"/>
      <c r="L98" s="1445"/>
    </row>
    <row r="99" spans="2:12" s="1041" customFormat="1" ht="15.6">
      <c r="B99" s="1449">
        <v>21.03</v>
      </c>
      <c r="C99" s="1450" t="s">
        <v>1018</v>
      </c>
      <c r="D99" s="1445"/>
      <c r="E99" s="1445"/>
      <c r="F99" s="1445"/>
      <c r="G99" s="1448">
        <f t="shared" si="5"/>
        <v>0</v>
      </c>
      <c r="H99" s="1445"/>
      <c r="I99" s="1445"/>
      <c r="J99" s="1445"/>
      <c r="K99" s="1445"/>
      <c r="L99" s="1445"/>
    </row>
    <row r="100" spans="2:12" s="1041" customFormat="1" ht="15.6">
      <c r="B100" s="1449">
        <v>21.04</v>
      </c>
      <c r="C100" s="1450" t="s">
        <v>1019</v>
      </c>
      <c r="D100" s="1445"/>
      <c r="E100" s="1445"/>
      <c r="F100" s="1445"/>
      <c r="G100" s="1448">
        <f t="shared" si="5"/>
        <v>0</v>
      </c>
      <c r="H100" s="1445"/>
      <c r="I100" s="1445"/>
      <c r="J100" s="1445"/>
      <c r="K100" s="1445"/>
      <c r="L100" s="1445"/>
    </row>
    <row r="101" spans="2:12" s="1041" customFormat="1" ht="15.6">
      <c r="B101" s="1449">
        <v>21.05</v>
      </c>
      <c r="C101" s="1450" t="s">
        <v>1020</v>
      </c>
      <c r="D101" s="1445"/>
      <c r="E101" s="1445"/>
      <c r="F101" s="1445"/>
      <c r="G101" s="1448">
        <f t="shared" si="5"/>
        <v>0</v>
      </c>
      <c r="H101" s="1445"/>
      <c r="I101" s="1445"/>
      <c r="J101" s="1445"/>
      <c r="K101" s="1445"/>
      <c r="L101" s="1445"/>
    </row>
    <row r="102" spans="2:12" s="1041" customFormat="1" ht="15.6">
      <c r="B102" s="1449">
        <v>21.06</v>
      </c>
      <c r="C102" s="15" t="s">
        <v>1021</v>
      </c>
      <c r="D102" s="1451">
        <f>SUM(D97:D101)</f>
        <v>0</v>
      </c>
      <c r="E102" s="1451">
        <f>SUM(E97:E101)</f>
        <v>0</v>
      </c>
      <c r="F102" s="1451"/>
      <c r="G102" s="1452">
        <f t="shared" si="5"/>
        <v>0</v>
      </c>
      <c r="H102" s="1451">
        <f>SUM(H97:H101)</f>
        <v>0</v>
      </c>
      <c r="I102" s="1451">
        <f>SUM(I97:I101)</f>
        <v>0</v>
      </c>
      <c r="J102" s="1451">
        <f>SUM(J97:J101)</f>
        <v>0</v>
      </c>
      <c r="K102" s="1451">
        <f>SUM(K97:K101)</f>
        <v>0</v>
      </c>
      <c r="L102" s="1451">
        <f>SUM(L97:L101)</f>
        <v>0</v>
      </c>
    </row>
    <row r="103" spans="2:12" s="1041" customFormat="1" ht="15.6">
      <c r="B103" s="1449"/>
      <c r="C103" s="15"/>
      <c r="D103" s="1445"/>
      <c r="E103" s="1445"/>
      <c r="F103" s="1445"/>
      <c r="G103" s="1453"/>
      <c r="H103" s="1445"/>
      <c r="I103" s="1445"/>
      <c r="J103" s="1445"/>
      <c r="K103" s="1445"/>
      <c r="L103" s="1445"/>
    </row>
    <row r="104" spans="2:12" s="1041" customFormat="1" ht="15">
      <c r="B104" s="1454" t="s">
        <v>1044</v>
      </c>
      <c r="C104" s="1455"/>
      <c r="D104" s="1456">
        <f>(D59/(D54/365))</f>
        <v>74.417324859709353</v>
      </c>
      <c r="E104" s="1456">
        <f t="shared" ref="E104:F104" si="6">(E59/(E54/365))</f>
        <v>67.273907722537331</v>
      </c>
      <c r="F104" s="1456">
        <f t="shared" si="6"/>
        <v>65.700519380361044</v>
      </c>
      <c r="G104" s="1456"/>
      <c r="H104" s="1456">
        <f t="shared" ref="H104:L104" si="7">(H59/(H54/365))</f>
        <v>58.211285949205617</v>
      </c>
      <c r="I104" s="1456">
        <f t="shared" si="7"/>
        <v>34.222341513280824</v>
      </c>
      <c r="J104" s="1456">
        <f t="shared" si="7"/>
        <v>-7.156890914401111</v>
      </c>
      <c r="K104" s="1456">
        <f t="shared" si="7"/>
        <v>-54.194251699115071</v>
      </c>
      <c r="L104" s="1456">
        <f t="shared" si="7"/>
        <v>-105.65812148030504</v>
      </c>
    </row>
    <row r="105" spans="2:12" s="1041" customFormat="1" ht="15">
      <c r="B105" s="1457" t="s">
        <v>1045</v>
      </c>
      <c r="C105" s="1458"/>
      <c r="D105" s="1459">
        <f>(D91/(D54/365))</f>
        <v>74.417324859709353</v>
      </c>
      <c r="E105" s="1459">
        <f t="shared" ref="E105:F105" si="8">(E91/(E54/365))</f>
        <v>67.273907722537331</v>
      </c>
      <c r="F105" s="1459">
        <f t="shared" si="8"/>
        <v>65.700519380361044</v>
      </c>
      <c r="G105" s="1459" t="s">
        <v>250</v>
      </c>
      <c r="H105" s="1459">
        <f t="shared" ref="H105:L105" si="9">(H91/(H54/365))</f>
        <v>58.211285949205617</v>
      </c>
      <c r="I105" s="1459">
        <f t="shared" si="9"/>
        <v>43.582244607725066</v>
      </c>
      <c r="J105" s="1459">
        <f t="shared" si="9"/>
        <v>19.859341527356431</v>
      </c>
      <c r="K105" s="1459">
        <f t="shared" si="9"/>
        <v>-10.088299946227185</v>
      </c>
      <c r="L105" s="1459">
        <f t="shared" si="9"/>
        <v>-45.256567200457745</v>
      </c>
    </row>
    <row r="106" spans="2:12" s="1041" customFormat="1" ht="15">
      <c r="B106" s="4"/>
      <c r="C106" s="1079" t="s">
        <v>250</v>
      </c>
      <c r="D106" s="4"/>
      <c r="E106" s="4"/>
      <c r="F106" s="4"/>
      <c r="G106" s="4"/>
      <c r="H106" s="4"/>
      <c r="I106" s="4"/>
      <c r="J106" s="4"/>
      <c r="K106" s="4"/>
      <c r="L106" s="4"/>
    </row>
    <row r="107" spans="2:12" s="1041" customFormat="1" ht="15.6">
      <c r="B107" s="1460" t="s">
        <v>1046</v>
      </c>
      <c r="C107" s="1461"/>
      <c r="D107" s="1461"/>
      <c r="E107" s="1461"/>
      <c r="F107" s="1462"/>
      <c r="G107" s="1461"/>
      <c r="H107" s="1463">
        <f>IF(H55&lt;0,(H55/(Tax!H10/1000)),0)</f>
        <v>-2.927783221322136</v>
      </c>
      <c r="I107" s="1463">
        <f>IF(I55&lt;0,(I55/(Tax!I10/1000)),0)</f>
        <v>-5.5013839081384699</v>
      </c>
      <c r="J107" s="1463">
        <f>IF(J55&lt;0,(J55/(Tax!J10/1000)),0)</f>
        <v>-10.355054261391842</v>
      </c>
      <c r="K107" s="1463">
        <f>IF(K55&lt;0,(K55/(Tax!K10/1000)),0)</f>
        <v>-12.12506694180863</v>
      </c>
      <c r="L107" s="1463">
        <f>IF(L55&lt;0,(L55/(Tax!L10/1000)),0)</f>
        <v>-13.688607446406424</v>
      </c>
    </row>
    <row r="108" spans="2:12">
      <c r="B108" s="151"/>
      <c r="C108" s="151"/>
      <c r="D108" s="151"/>
      <c r="F108" s="135"/>
      <c r="H108" s="135"/>
      <c r="I108" s="135"/>
      <c r="J108" s="135"/>
      <c r="K108" s="135"/>
      <c r="L108" s="155"/>
    </row>
    <row r="109" spans="2:12" ht="15">
      <c r="B109" s="151"/>
      <c r="C109" s="1079" t="s">
        <v>1022</v>
      </c>
      <c r="D109" s="151"/>
      <c r="F109" s="135"/>
      <c r="H109" s="151"/>
      <c r="I109" s="151"/>
      <c r="J109" s="151"/>
      <c r="K109" s="151"/>
      <c r="L109" s="151"/>
    </row>
    <row r="110" spans="2:12" ht="15">
      <c r="B110" s="151"/>
      <c r="C110" s="1079" t="s">
        <v>1047</v>
      </c>
      <c r="D110" s="151"/>
      <c r="H110" s="1464"/>
      <c r="I110" s="1464"/>
      <c r="J110" s="1464"/>
      <c r="K110" s="1464"/>
      <c r="L110" s="1464"/>
    </row>
    <row r="111" spans="2:12">
      <c r="B111" s="151"/>
      <c r="C111" s="151"/>
      <c r="D111" s="151"/>
      <c r="H111" s="135"/>
      <c r="I111" s="135"/>
      <c r="J111" s="135"/>
      <c r="K111" s="135"/>
      <c r="L111" s="135"/>
    </row>
    <row r="112" spans="2:12">
      <c r="B112" s="151"/>
      <c r="C112" s="151" t="s">
        <v>1048</v>
      </c>
      <c r="D112" s="1465"/>
      <c r="E112" s="1465"/>
      <c r="F112" s="1465"/>
      <c r="G112" s="1465"/>
      <c r="H112" s="1465"/>
      <c r="I112" s="1465"/>
      <c r="J112" s="1465"/>
      <c r="K112" s="1465"/>
      <c r="L112" s="1465"/>
    </row>
    <row r="113" spans="2:12">
      <c r="B113" s="151"/>
      <c r="C113" s="151"/>
      <c r="D113" s="151"/>
      <c r="H113" s="151"/>
      <c r="I113" s="151"/>
      <c r="J113" s="151"/>
      <c r="K113" s="151"/>
      <c r="L113" s="151"/>
    </row>
  </sheetData>
  <phoneticPr fontId="0" type="noConversion"/>
  <printOptions horizontalCentered="1" verticalCentered="1"/>
  <pageMargins left="0.05" right="0.05" top="0.25" bottom="0.25" header="0.05" footer="0.05"/>
  <pageSetup scale="45" orientation="portrait" horizontalDpi="300" verticalDpi="300" r:id="rId1"/>
  <headerFooter>
    <oddFooter>&amp;C&amp;12&amp;P</oddFooter>
  </headerFooter>
  <ignoredErrors>
    <ignoredError sqref="B1:M11 B20:F75 B93:C94 B90:F92 B89:C89 B86:F88 B84:C85 B78:F83 B76:C77 M20:M92 M93:M94 B95:G95 B18:G19 B13:B17 D14:G17 D13:G13 M13 A109:A113 M96:M113 S20:XFD47 N1:XFD19 N48:XFD1048576 A114:M1048576 M95 M18:M19 M14:M17 H98:L107 B12:G12 M12 H84:K84 H86:L92 H93 H78:L83 H72:L75 H62:L63 H53:L60 H47:L49 H37:L40 H28:L31 H96:L97 H94 H20:L22 H95:L95 H12:L19 H23:L27 I94:L94 H32:L36 H41:L46 H50:L52 H61:L61 H64:L71 H76:L77 L84 I93:L93 H85:L85" unlockedFormula="1"/>
    <ignoredError sqref="G20:G94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FF00"/>
  </sheetPr>
  <dimension ref="A1:K105"/>
  <sheetViews>
    <sheetView topLeftCell="A73" workbookViewId="0">
      <selection activeCell="L59" sqref="L59"/>
    </sheetView>
  </sheetViews>
  <sheetFormatPr defaultColWidth="8.88671875" defaultRowHeight="13.2"/>
  <cols>
    <col min="1" max="1" width="5.88671875" style="300" customWidth="1"/>
    <col min="2" max="2" width="11" style="300" customWidth="1"/>
    <col min="3" max="5" width="15.33203125" style="300" bestFit="1" customWidth="1"/>
    <col min="6" max="7" width="12.88671875" style="300" customWidth="1"/>
    <col min="8" max="8" width="10.109375" style="300" customWidth="1"/>
    <col min="9" max="9" width="12.6640625" style="300" bestFit="1" customWidth="1"/>
    <col min="10" max="10" width="8.88671875" style="300" customWidth="1"/>
    <col min="11" max="16384" width="8.88671875" style="300"/>
  </cols>
  <sheetData>
    <row r="1" spans="1:11" ht="15.6">
      <c r="A1" s="299" t="str">
        <f>Cover!D58</f>
        <v>Madison Local School District</v>
      </c>
    </row>
    <row r="2" spans="1:11" ht="15.6">
      <c r="A2" s="299" t="s">
        <v>817</v>
      </c>
    </row>
    <row r="3" spans="1:11" ht="15.6">
      <c r="A3" s="299" t="s">
        <v>812</v>
      </c>
      <c r="C3" s="501">
        <f ca="1">NOW()</f>
        <v>43236.272393055558</v>
      </c>
    </row>
    <row r="5" spans="1:11" ht="13.8">
      <c r="A5" s="302" t="s">
        <v>729</v>
      </c>
      <c r="I5" s="301" t="s">
        <v>730</v>
      </c>
    </row>
    <row r="6" spans="1:11" ht="13.8">
      <c r="A6" s="302" t="s">
        <v>818</v>
      </c>
      <c r="I6" s="497"/>
    </row>
    <row r="7" spans="1:11" ht="13.8">
      <c r="A7" s="302"/>
      <c r="I7" s="497"/>
    </row>
    <row r="8" spans="1:11" ht="13.8">
      <c r="A8" s="302"/>
      <c r="I8" s="497"/>
    </row>
    <row r="9" spans="1:11" ht="13.8">
      <c r="A9" s="302"/>
      <c r="C9" s="303" t="str">
        <f>"FY"&amp;+Forecast!H9</f>
        <v>FY2022</v>
      </c>
      <c r="D9" s="303" t="str">
        <f>"FY"&amp;+Forecast!I9</f>
        <v>FY2023</v>
      </c>
      <c r="E9" s="303" t="str">
        <f>"FY"&amp;+Forecast!J9</f>
        <v>FY2024</v>
      </c>
      <c r="F9" s="303" t="str">
        <f>"FY"&amp;+Forecast!K9</f>
        <v>FY2025</v>
      </c>
      <c r="G9" s="303" t="str">
        <f>"FY"&amp;+Forecast!L9</f>
        <v>FY2026</v>
      </c>
      <c r="I9" s="497"/>
    </row>
    <row r="10" spans="1:11" ht="13.8">
      <c r="A10" s="302"/>
      <c r="B10" s="300" t="s">
        <v>731</v>
      </c>
      <c r="C10" s="498">
        <f ca="1">IF(MONTH(NOW())&lt;6,+'Prior-CSV'!G11+'Prior-CSV'!G12,+'Prior-CSV'!H11+'Prior-CSV'!H12)</f>
        <v>11519571</v>
      </c>
      <c r="D10" s="498">
        <f ca="1">IF(MONTH(NOW())&lt;6,+'Prior-CSV'!H11+'Prior-CSV'!H12,+'Prior-CSV'!I11+'Prior-CSV'!I12)</f>
        <v>12025803</v>
      </c>
      <c r="E10" s="498">
        <f ca="1">IF(MONTH(NOW())&lt;6,+'Prior-CSV'!I11+'Prior-CSV'!I12,+'Prior-CSV'!J11+'Prior-CSV'!J12)</f>
        <v>11365435</v>
      </c>
      <c r="F10" s="498">
        <f ca="1">IF(MONTH(NOW())&lt;6,+'Prior-CSV'!J11+'Prior-CSV'!J12,+'Prior-CSV'!K11+'Prior-CSV'!K12)</f>
        <v>10865080</v>
      </c>
      <c r="G10" s="498">
        <f ca="1">IF(MONTH(NOW())&lt;6,+'Prior-CSV'!K11+'Prior-CSV'!K12,+Forecast!L12+Forecast!L13)</f>
        <v>11042572</v>
      </c>
      <c r="H10" s="498"/>
      <c r="I10" s="495"/>
    </row>
    <row r="11" spans="1:11" ht="13.8">
      <c r="A11" s="302"/>
      <c r="B11" s="300" t="s">
        <v>732</v>
      </c>
      <c r="C11" s="498">
        <f>Forecast!H12+Forecast!H13</f>
        <v>11555835</v>
      </c>
      <c r="D11" s="498">
        <f>Forecast!I12+Forecast!I13</f>
        <v>11365435</v>
      </c>
      <c r="E11" s="498">
        <f>Forecast!J12+Forecast!J13</f>
        <v>10865080</v>
      </c>
      <c r="F11" s="498">
        <f>Forecast!K12+Forecast!K13</f>
        <v>11042572</v>
      </c>
      <c r="G11" s="498">
        <f>Forecast!L12+Forecast!L13</f>
        <v>11214810</v>
      </c>
      <c r="H11" s="498"/>
      <c r="I11" s="495"/>
      <c r="J11" s="304"/>
      <c r="K11" s="304"/>
    </row>
    <row r="12" spans="1:11" ht="13.8">
      <c r="A12" s="302"/>
      <c r="B12" s="300" t="s">
        <v>733</v>
      </c>
      <c r="C12" s="498">
        <f ca="1">+C11-C10</f>
        <v>36264</v>
      </c>
      <c r="D12" s="498">
        <f ca="1">+D11-D10</f>
        <v>-660368</v>
      </c>
      <c r="E12" s="498">
        <f ca="1">+E11-E10</f>
        <v>-500355</v>
      </c>
      <c r="F12" s="498">
        <f ca="1">+F11-F10</f>
        <v>177492</v>
      </c>
      <c r="G12" s="498">
        <f ca="1">+G11-G10</f>
        <v>172238</v>
      </c>
      <c r="H12" s="498"/>
      <c r="I12" s="495">
        <f ca="1">SUM(C12:H12)</f>
        <v>-774729</v>
      </c>
      <c r="J12" s="305"/>
    </row>
    <row r="13" spans="1:11" ht="13.8">
      <c r="A13" s="302"/>
      <c r="C13" s="498"/>
      <c r="D13" s="498"/>
      <c r="E13" s="498"/>
      <c r="F13" s="498"/>
      <c r="G13" s="498"/>
      <c r="H13" s="498"/>
      <c r="I13" s="495"/>
    </row>
    <row r="14" spans="1:11" ht="13.8">
      <c r="A14" s="302" t="s">
        <v>819</v>
      </c>
      <c r="C14" s="498"/>
      <c r="D14" s="498"/>
      <c r="E14" s="498"/>
      <c r="F14" s="498"/>
      <c r="G14" s="498"/>
      <c r="H14" s="498"/>
      <c r="I14" s="495"/>
    </row>
    <row r="15" spans="1:11" ht="13.8">
      <c r="A15" s="302"/>
      <c r="C15" s="498"/>
      <c r="D15" s="498"/>
      <c r="E15" s="498"/>
      <c r="F15" s="498"/>
      <c r="G15" s="498"/>
      <c r="H15" s="498"/>
      <c r="I15" s="495"/>
    </row>
    <row r="16" spans="1:11" ht="13.8">
      <c r="A16" s="302"/>
      <c r="C16" s="498"/>
      <c r="D16" s="498"/>
      <c r="E16" s="498"/>
      <c r="F16" s="498"/>
      <c r="G16" s="498"/>
      <c r="H16" s="498"/>
      <c r="I16" s="495"/>
    </row>
    <row r="17" spans="1:10" ht="13.8">
      <c r="A17" s="302"/>
      <c r="C17" s="499" t="str">
        <f>C9</f>
        <v>FY2022</v>
      </c>
      <c r="D17" s="499" t="str">
        <f>D9</f>
        <v>FY2023</v>
      </c>
      <c r="E17" s="499" t="str">
        <f>E9</f>
        <v>FY2024</v>
      </c>
      <c r="F17" s="499" t="str">
        <f>F9</f>
        <v>FY2025</v>
      </c>
      <c r="G17" s="499" t="str">
        <f>G9</f>
        <v>FY2026</v>
      </c>
      <c r="H17" s="498"/>
      <c r="I17" s="495"/>
    </row>
    <row r="18" spans="1:10" ht="13.8">
      <c r="A18" s="302"/>
      <c r="B18" s="300" t="s">
        <v>731</v>
      </c>
      <c r="C18" s="498">
        <f ca="1">IF(MONTH(NOW())&lt;6,+'Prior-CSV'!G13,+'Prior-CSV'!H13)</f>
        <v>0</v>
      </c>
      <c r="D18" s="498">
        <f ca="1">IF(MONTH(NOW())&lt;6,+'Prior-CSV'!H13,+'Prior-CSV'!I13)</f>
        <v>0</v>
      </c>
      <c r="E18" s="498">
        <f ca="1">IF(MONTH(NOW())&lt;6,+'Prior-CSV'!I13,+'Prior-CSV'!J13)</f>
        <v>0</v>
      </c>
      <c r="F18" s="498">
        <f ca="1">IF(MONTH(NOW())&lt;6,+'Prior-CSV'!J13,+'Prior-CSV'!K13)</f>
        <v>0</v>
      </c>
      <c r="G18" s="498">
        <f ca="1">IF(MONTH(NOW())&lt;6,+'Prior-CSV'!K13,Forecast!L14)</f>
        <v>0</v>
      </c>
      <c r="H18" s="498"/>
      <c r="I18" s="495"/>
    </row>
    <row r="19" spans="1:10" ht="13.8">
      <c r="A19" s="302"/>
      <c r="B19" s="300" t="s">
        <v>732</v>
      </c>
      <c r="C19" s="498">
        <f>Forecast!H14</f>
        <v>0</v>
      </c>
      <c r="D19" s="498">
        <f>Forecast!I14</f>
        <v>0</v>
      </c>
      <c r="E19" s="498">
        <f>Forecast!J14</f>
        <v>0</v>
      </c>
      <c r="F19" s="498">
        <f>Forecast!K14</f>
        <v>0</v>
      </c>
      <c r="G19" s="498">
        <f>Forecast!L14</f>
        <v>0</v>
      </c>
      <c r="H19" s="498"/>
      <c r="I19" s="495"/>
    </row>
    <row r="20" spans="1:10" ht="13.8">
      <c r="A20" s="302"/>
      <c r="B20" s="300" t="s">
        <v>733</v>
      </c>
      <c r="C20" s="498">
        <f ca="1">+C19-C18</f>
        <v>0</v>
      </c>
      <c r="D20" s="498">
        <f ca="1">+D19-D18</f>
        <v>0</v>
      </c>
      <c r="E20" s="498">
        <f ca="1">+E19-E18</f>
        <v>0</v>
      </c>
      <c r="F20" s="498">
        <f ca="1">+F19-F18</f>
        <v>0</v>
      </c>
      <c r="G20" s="498">
        <f ca="1">+G19-G18</f>
        <v>0</v>
      </c>
      <c r="H20" s="498"/>
      <c r="I20" s="495">
        <f ca="1">SUM(C20:H20)</f>
        <v>0</v>
      </c>
    </row>
    <row r="21" spans="1:10" ht="13.8">
      <c r="A21" s="302"/>
      <c r="C21" s="498"/>
      <c r="D21" s="498"/>
      <c r="E21" s="498"/>
      <c r="F21" s="498"/>
      <c r="G21" s="498"/>
      <c r="H21" s="498"/>
      <c r="I21" s="495"/>
    </row>
    <row r="22" spans="1:10" ht="13.8">
      <c r="A22" s="302" t="s">
        <v>734</v>
      </c>
      <c r="C22" s="498"/>
      <c r="D22" s="498"/>
      <c r="E22" s="498"/>
      <c r="F22" s="498"/>
      <c r="G22" s="498"/>
      <c r="H22" s="498"/>
      <c r="I22" s="495"/>
    </row>
    <row r="23" spans="1:10" ht="13.8">
      <c r="A23" s="302" t="s">
        <v>820</v>
      </c>
      <c r="C23" s="498"/>
      <c r="D23" s="498"/>
      <c r="E23" s="498"/>
      <c r="F23" s="498"/>
      <c r="G23" s="498"/>
      <c r="H23" s="498"/>
      <c r="I23" s="495"/>
    </row>
    <row r="24" spans="1:10" ht="13.8">
      <c r="A24" s="302" t="s">
        <v>821</v>
      </c>
      <c r="C24" s="498"/>
      <c r="D24" s="498"/>
      <c r="E24" s="498"/>
      <c r="F24" s="498"/>
      <c r="G24" s="498"/>
      <c r="H24" s="498"/>
      <c r="I24" s="495"/>
    </row>
    <row r="25" spans="1:10" ht="13.8">
      <c r="A25" s="302" t="s">
        <v>822</v>
      </c>
      <c r="C25" s="498"/>
      <c r="D25" s="498"/>
      <c r="E25" s="498"/>
      <c r="F25" s="498"/>
      <c r="G25" s="498"/>
      <c r="H25" s="498"/>
      <c r="I25" s="495"/>
    </row>
    <row r="26" spans="1:10" ht="13.8">
      <c r="A26" s="302"/>
      <c r="C26" s="498"/>
      <c r="D26" s="498"/>
      <c r="E26" s="498"/>
      <c r="F26" s="498"/>
      <c r="G26" s="498"/>
      <c r="H26" s="498"/>
      <c r="I26" s="495"/>
    </row>
    <row r="27" spans="1:10" ht="13.8">
      <c r="A27" s="302"/>
      <c r="C27" s="499" t="str">
        <f>+C9</f>
        <v>FY2022</v>
      </c>
      <c r="D27" s="499" t="str">
        <f>+D9</f>
        <v>FY2023</v>
      </c>
      <c r="E27" s="499" t="str">
        <f>+E9</f>
        <v>FY2024</v>
      </c>
      <c r="F27" s="499" t="str">
        <f>+F9</f>
        <v>FY2025</v>
      </c>
      <c r="G27" s="499" t="str">
        <f>+G9</f>
        <v>FY2026</v>
      </c>
      <c r="H27" s="498"/>
      <c r="I27" s="495"/>
    </row>
    <row r="28" spans="1:10" ht="13.8">
      <c r="A28" s="302"/>
      <c r="B28" s="300" t="s">
        <v>731</v>
      </c>
      <c r="C28" s="498">
        <f ca="1">IF(MONTH(NOW())&lt;6,+'Prior-CSV'!G14+'Prior-CSV'!G15+'Prior-CSV'!G16,+'Prior-CSV'!H14+'Prior-CSV'!H15+'Prior-CSV'!H16)</f>
        <v>19442484</v>
      </c>
      <c r="D28" s="498">
        <f ca="1">IF(MONTH(NOW())&lt;6,+'Prior-CSV'!H14+'Prior-CSV'!H15+'Prior-CSV'!H16,+'Prior-CSV'!I14+'Prior-CSV'!I15+'Prior-CSV'!I16)</f>
        <v>19587172</v>
      </c>
      <c r="E28" s="498">
        <f ca="1">IF(MONTH(NOW())&lt;6,+'Prior-CSV'!I14+'Prior-CSV'!I15+'Prior-CSV'!I16,+'Prior-CSV'!J14+'Prior-CSV'!J15+'Prior-CSV'!J16)</f>
        <v>19590153</v>
      </c>
      <c r="F28" s="498">
        <f ca="1">IF(MONTH(NOW())&lt;6,+'Prior-CSV'!J14+'Prior-CSV'!J15+'Prior-CSV'!J16,+'Prior-CSV'!K14+'Prior-CSV'!K15+'Prior-CSV'!K16)</f>
        <v>19593188</v>
      </c>
      <c r="G28" s="498">
        <f ca="1">IF(MONTH(NOW())&lt;6,+'Prior-CSV'!K14+'Prior-CSV'!K15+'Prior-CSV'!K16,Forecast!L15+Forecast!L16+Forecast!L17)</f>
        <v>19596279</v>
      </c>
      <c r="H28" s="498"/>
      <c r="I28" s="495"/>
    </row>
    <row r="29" spans="1:10" ht="13.8">
      <c r="A29" s="302"/>
      <c r="B29" s="300" t="s">
        <v>732</v>
      </c>
      <c r="C29" s="498">
        <f>Forecast!H15+Forecast!H16+Forecast!H17</f>
        <v>17679875</v>
      </c>
      <c r="D29" s="498">
        <f>Forecast!I15+Forecast!I16+Forecast!I17</f>
        <v>18552954</v>
      </c>
      <c r="E29" s="498">
        <f>Forecast!J15+Forecast!J16+Forecast!J17</f>
        <v>18556205</v>
      </c>
      <c r="F29" s="498">
        <f>Forecast!K15+Forecast!K16+Forecast!K17</f>
        <v>18559510</v>
      </c>
      <c r="G29" s="498">
        <f>Forecast!L15+Forecast!L16+Forecast!L17</f>
        <v>18562894</v>
      </c>
      <c r="H29" s="498"/>
      <c r="I29" s="495"/>
    </row>
    <row r="30" spans="1:10" ht="13.8">
      <c r="A30" s="302"/>
      <c r="B30" s="300" t="s">
        <v>733</v>
      </c>
      <c r="C30" s="498">
        <f ca="1">+C29-C28</f>
        <v>-1762609</v>
      </c>
      <c r="D30" s="498">
        <f ca="1">+D29-D28</f>
        <v>-1034218</v>
      </c>
      <c r="E30" s="498">
        <f ca="1">+E29-E28</f>
        <v>-1033948</v>
      </c>
      <c r="F30" s="498">
        <f ca="1">+F29-F28</f>
        <v>-1033678</v>
      </c>
      <c r="G30" s="498">
        <f ca="1">+G29-G28</f>
        <v>-1033385</v>
      </c>
      <c r="H30" s="498"/>
      <c r="I30" s="495">
        <f ca="1">SUM(C30:H30)</f>
        <v>-5897838</v>
      </c>
      <c r="J30" s="305"/>
    </row>
    <row r="31" spans="1:10" ht="13.8">
      <c r="A31" s="302"/>
      <c r="C31" s="498"/>
      <c r="D31" s="498"/>
      <c r="E31" s="498"/>
      <c r="F31" s="498"/>
      <c r="G31" s="498"/>
      <c r="H31" s="498"/>
      <c r="I31" s="495"/>
    </row>
    <row r="32" spans="1:10" ht="13.8">
      <c r="A32" s="302"/>
      <c r="C32" s="498"/>
      <c r="D32" s="498"/>
      <c r="E32" s="498"/>
      <c r="F32" s="498"/>
      <c r="G32" s="498"/>
      <c r="H32" s="498"/>
      <c r="I32" s="495"/>
    </row>
    <row r="33" spans="1:11" ht="13.8">
      <c r="A33" s="302" t="s">
        <v>735</v>
      </c>
      <c r="C33" s="498"/>
      <c r="D33" s="498"/>
      <c r="E33" s="498"/>
      <c r="F33" s="498"/>
      <c r="G33" s="498"/>
      <c r="H33" s="498"/>
      <c r="I33" s="495"/>
    </row>
    <row r="34" spans="1:11" ht="13.8">
      <c r="A34" s="302" t="s">
        <v>823</v>
      </c>
      <c r="C34" s="498"/>
      <c r="D34" s="498"/>
      <c r="E34" s="498"/>
      <c r="F34" s="498"/>
      <c r="G34" s="498"/>
      <c r="H34" s="498"/>
      <c r="I34" s="495"/>
    </row>
    <row r="35" spans="1:11" ht="13.8">
      <c r="A35" s="302"/>
      <c r="C35" s="499" t="str">
        <f>C9</f>
        <v>FY2022</v>
      </c>
      <c r="D35" s="499" t="str">
        <f>D9</f>
        <v>FY2023</v>
      </c>
      <c r="E35" s="499" t="str">
        <f>E9</f>
        <v>FY2024</v>
      </c>
      <c r="F35" s="499" t="str">
        <f>F9</f>
        <v>FY2025</v>
      </c>
      <c r="G35" s="499" t="str">
        <f>G9</f>
        <v>FY2026</v>
      </c>
      <c r="H35" s="498"/>
      <c r="I35" s="495"/>
    </row>
    <row r="36" spans="1:11" ht="13.8">
      <c r="A36" s="302"/>
      <c r="B36" s="300" t="s">
        <v>731</v>
      </c>
      <c r="C36" s="498">
        <f ca="1">IF(MONTH(NOW())&lt;6,+'Prior-CSV'!G17,+'Prior-CSV'!H17)</f>
        <v>2239533</v>
      </c>
      <c r="D36" s="498">
        <f ca="1">IF(MONTH(NOW())&lt;6,+'Prior-CSV'!H17,+'Prior-CSV'!I17)</f>
        <v>1999580</v>
      </c>
      <c r="E36" s="498">
        <f ca="1">IF(MONTH(NOW())&lt;6,+'Prior-CSV'!I17,+'Prior-CSV'!J17)</f>
        <v>1726932</v>
      </c>
      <c r="F36" s="498">
        <f ca="1">IF(MONTH(NOW())&lt;6,+'Prior-CSV'!J17,+'Prior-CSV'!K17)</f>
        <v>1410196</v>
      </c>
      <c r="G36" s="498">
        <f ca="1">IF(MONTH(NOW())&lt;6,+'Prior-CSV'!K17,Forecast!L18)</f>
        <v>1167772</v>
      </c>
      <c r="H36" s="498"/>
      <c r="I36" s="495"/>
    </row>
    <row r="37" spans="1:11" ht="13.8">
      <c r="A37" s="302"/>
      <c r="B37" s="300" t="s">
        <v>732</v>
      </c>
      <c r="C37" s="498">
        <f>Forecast!H18</f>
        <v>2012084</v>
      </c>
      <c r="D37" s="498">
        <f>Forecast!I18</f>
        <v>1726932</v>
      </c>
      <c r="E37" s="498">
        <f>Forecast!J18</f>
        <v>1410196</v>
      </c>
      <c r="F37" s="498">
        <f>Forecast!K18</f>
        <v>1167772</v>
      </c>
      <c r="G37" s="498">
        <f>Forecast!L18</f>
        <v>1121128</v>
      </c>
      <c r="H37" s="498"/>
      <c r="I37" s="495"/>
      <c r="J37" s="304"/>
      <c r="K37" s="304"/>
    </row>
    <row r="38" spans="1:11" ht="13.8">
      <c r="A38" s="302"/>
      <c r="B38" s="300" t="s">
        <v>733</v>
      </c>
      <c r="C38" s="498">
        <f ca="1">+C37-C36</f>
        <v>-227449</v>
      </c>
      <c r="D38" s="498">
        <f ca="1">+D37-D36</f>
        <v>-272648</v>
      </c>
      <c r="E38" s="498">
        <f ca="1">+E37-E36</f>
        <v>-316736</v>
      </c>
      <c r="F38" s="498">
        <f ca="1">+F37-F36</f>
        <v>-242424</v>
      </c>
      <c r="G38" s="498">
        <f ca="1">+G37-G36</f>
        <v>-46644</v>
      </c>
      <c r="H38" s="498"/>
      <c r="I38" s="495">
        <f ca="1">SUM(C38:H38)</f>
        <v>-1105901</v>
      </c>
      <c r="J38" s="305"/>
    </row>
    <row r="39" spans="1:11" ht="13.8">
      <c r="A39" s="302"/>
      <c r="C39" s="498"/>
      <c r="D39" s="498"/>
      <c r="E39" s="498"/>
      <c r="F39" s="498"/>
      <c r="G39" s="498"/>
      <c r="H39" s="498"/>
      <c r="I39" s="495"/>
    </row>
    <row r="40" spans="1:11" ht="13.8">
      <c r="A40" s="302"/>
      <c r="C40" s="498"/>
      <c r="D40" s="498"/>
      <c r="E40" s="498"/>
      <c r="F40" s="498"/>
      <c r="G40" s="498"/>
      <c r="H40" s="498"/>
      <c r="I40" s="495"/>
    </row>
    <row r="41" spans="1:11" ht="13.8">
      <c r="A41" s="302" t="s">
        <v>824</v>
      </c>
      <c r="C41" s="498"/>
      <c r="D41" s="498"/>
      <c r="E41" s="498"/>
      <c r="F41" s="498"/>
      <c r="G41" s="498"/>
      <c r="H41" s="498"/>
      <c r="I41" s="495"/>
    </row>
    <row r="42" spans="1:11" ht="13.8">
      <c r="A42" s="302" t="s">
        <v>250</v>
      </c>
      <c r="C42" s="498"/>
      <c r="D42" s="498"/>
      <c r="E42" s="498"/>
      <c r="F42" s="498"/>
      <c r="G42" s="498"/>
      <c r="H42" s="498"/>
      <c r="I42" s="495"/>
    </row>
    <row r="43" spans="1:11" ht="13.8">
      <c r="A43" s="302"/>
      <c r="C43" s="499" t="str">
        <f>+C9</f>
        <v>FY2022</v>
      </c>
      <c r="D43" s="499" t="str">
        <f>+D9</f>
        <v>FY2023</v>
      </c>
      <c r="E43" s="499" t="str">
        <f>+E9</f>
        <v>FY2024</v>
      </c>
      <c r="F43" s="499" t="str">
        <f>+F27</f>
        <v>FY2025</v>
      </c>
      <c r="G43" s="499" t="str">
        <f>+G27</f>
        <v>FY2026</v>
      </c>
      <c r="H43" s="498"/>
      <c r="I43" s="495"/>
    </row>
    <row r="44" spans="1:11" ht="13.8">
      <c r="A44" s="302"/>
      <c r="B44" s="300" t="s">
        <v>731</v>
      </c>
      <c r="C44" s="498">
        <f ca="1">IF(MONTH(NOW())&lt;6,+'Prior-CSV'!G18+'Prior-CSV'!G27,+'Prior-CSV'!H18+'Prior-CSV'!H27)</f>
        <v>2974535</v>
      </c>
      <c r="D44" s="498">
        <f ca="1">IF(MONTH(NOW())&lt;6,+'Prior-CSV'!H18+'Prior-CSV'!H27,+'Prior-CSV'!I18+'Prior-CSV'!I27)</f>
        <v>2414942</v>
      </c>
      <c r="E44" s="498">
        <f ca="1">IF(MONTH(NOW())&lt;6,+'Prior-CSV'!I18+'Prior-CSV'!I27,+'Prior-CSV'!J18+'Prior-CSV'!J27)</f>
        <v>2394904</v>
      </c>
      <c r="F44" s="498">
        <f ca="1">IF(MONTH(NOW())&lt;6,+'Prior-CSV'!J18+'Prior-CSV'!J27,+'Prior-CSV'!K18+'Prior-CSV'!K27)</f>
        <v>2396086</v>
      </c>
      <c r="G44" s="498">
        <f ca="1">IF(MONTH(NOW())&lt;6,+'Prior-CSV'!K18+'Prior-CSV'!K27,Forecast!L19+Forecast!L28)</f>
        <v>2384950</v>
      </c>
      <c r="H44" s="498"/>
      <c r="I44" s="495"/>
    </row>
    <row r="45" spans="1:11" ht="13.8">
      <c r="A45" s="302"/>
      <c r="B45" s="300" t="s">
        <v>732</v>
      </c>
      <c r="C45" s="498">
        <f xml:space="preserve"> Forecast!H19+Forecast!H28</f>
        <v>1609886</v>
      </c>
      <c r="D45" s="498">
        <f xml:space="preserve"> Forecast!I19+Forecast!I28</f>
        <v>1480451</v>
      </c>
      <c r="E45" s="498">
        <f xml:space="preserve"> Forecast!J19+Forecast!J28</f>
        <v>1483510</v>
      </c>
      <c r="F45" s="498">
        <f xml:space="preserve"> Forecast!K19+Forecast!K28</f>
        <v>1474296</v>
      </c>
      <c r="G45" s="498">
        <f xml:space="preserve"> Forecast!L19+Forecast!L28</f>
        <v>1477810</v>
      </c>
      <c r="H45" s="498"/>
      <c r="I45" s="495"/>
    </row>
    <row r="46" spans="1:11" ht="13.8">
      <c r="A46" s="302"/>
      <c r="B46" s="300" t="s">
        <v>733</v>
      </c>
      <c r="C46" s="498">
        <f ca="1">+C45-C44</f>
        <v>-1364649</v>
      </c>
      <c r="D46" s="498">
        <f ca="1">+D45-D44</f>
        <v>-934491</v>
      </c>
      <c r="E46" s="498">
        <f ca="1">+E45-E44</f>
        <v>-911394</v>
      </c>
      <c r="F46" s="498">
        <f ca="1">+F45-F44</f>
        <v>-921790</v>
      </c>
      <c r="G46" s="498">
        <f ca="1">+G45-G44</f>
        <v>-907140</v>
      </c>
      <c r="H46" s="498"/>
      <c r="I46" s="495">
        <f ca="1">SUM(C46:H46)</f>
        <v>-5039464</v>
      </c>
      <c r="J46" s="305"/>
    </row>
    <row r="47" spans="1:11" ht="13.8">
      <c r="A47" s="302"/>
      <c r="C47" s="498"/>
      <c r="D47" s="498"/>
      <c r="E47" s="498"/>
      <c r="F47" s="498"/>
      <c r="G47" s="498"/>
      <c r="H47" s="498"/>
      <c r="I47" s="495"/>
    </row>
    <row r="48" spans="1:11" ht="13.8">
      <c r="A48" s="302" t="s">
        <v>825</v>
      </c>
      <c r="C48" s="498"/>
      <c r="D48" s="498"/>
      <c r="E48" s="498"/>
      <c r="F48" s="498"/>
      <c r="G48" s="498"/>
      <c r="H48" s="498"/>
      <c r="I48" s="495"/>
    </row>
    <row r="49" spans="1:11" ht="13.8">
      <c r="A49" s="302" t="s">
        <v>250</v>
      </c>
      <c r="C49" s="498"/>
      <c r="D49" s="498"/>
      <c r="E49" s="498"/>
      <c r="F49" s="498"/>
      <c r="G49" s="498"/>
      <c r="H49" s="498"/>
      <c r="I49" s="495"/>
    </row>
    <row r="50" spans="1:11" ht="13.8">
      <c r="A50" s="302" t="s">
        <v>250</v>
      </c>
      <c r="C50" s="498"/>
      <c r="D50" s="498"/>
      <c r="E50" s="498"/>
      <c r="F50" s="498"/>
      <c r="G50" s="498"/>
      <c r="H50" s="498"/>
      <c r="I50" s="495"/>
    </row>
    <row r="51" spans="1:11" ht="13.8">
      <c r="A51" s="302"/>
      <c r="C51" s="499" t="str">
        <f>+C9</f>
        <v>FY2022</v>
      </c>
      <c r="D51" s="499" t="str">
        <f>+D9</f>
        <v>FY2023</v>
      </c>
      <c r="E51" s="499" t="str">
        <f>+E9</f>
        <v>FY2024</v>
      </c>
      <c r="F51" s="499" t="str">
        <f>+F43</f>
        <v>FY2025</v>
      </c>
      <c r="G51" s="499" t="str">
        <f>+G43</f>
        <v>FY2026</v>
      </c>
      <c r="H51" s="498"/>
      <c r="I51" s="495"/>
    </row>
    <row r="52" spans="1:11" ht="13.8">
      <c r="A52" s="302"/>
      <c r="B52" s="300" t="s">
        <v>731</v>
      </c>
      <c r="C52" s="498">
        <f ca="1">IF(MONTH(NOW())&lt;6,+'Prior-CSV'!G31,+'Prior-CSV'!H31)</f>
        <v>17153333</v>
      </c>
      <c r="D52" s="498">
        <f ca="1">IF(MONTH(NOW())&lt;6,+'Prior-CSV'!H31,+'Prior-CSV'!I31)</f>
        <v>16541582</v>
      </c>
      <c r="E52" s="498">
        <f ca="1">IF(MONTH(NOW())&lt;6,+'Prior-CSV'!I31,+'Prior-CSV'!J31)</f>
        <v>16777577</v>
      </c>
      <c r="F52" s="498">
        <f ca="1">IF(MONTH(NOW())&lt;6,+'Prior-CSV'!J31,+'Prior-CSV'!K31)</f>
        <v>17017112</v>
      </c>
      <c r="G52" s="498">
        <f ca="1">IF(MONTH(NOW())&lt;6,+'Prior-CSV'!K31,Forecast!L32)</f>
        <v>17260240</v>
      </c>
      <c r="H52" s="498"/>
      <c r="I52" s="495"/>
    </row>
    <row r="53" spans="1:11" ht="13.8">
      <c r="A53" s="302"/>
      <c r="B53" s="300" t="s">
        <v>732</v>
      </c>
      <c r="C53" s="498">
        <f>Forecast!H32</f>
        <v>17339955</v>
      </c>
      <c r="D53" s="498">
        <f>Forecast!I32</f>
        <v>17958872</v>
      </c>
      <c r="E53" s="498">
        <f>Forecast!J32</f>
        <v>18600999</v>
      </c>
      <c r="F53" s="498">
        <f>Forecast!K32</f>
        <v>18911895</v>
      </c>
      <c r="G53" s="498">
        <f>Forecast!L32</f>
        <v>19228232</v>
      </c>
      <c r="H53" s="498"/>
      <c r="I53" s="495"/>
    </row>
    <row r="54" spans="1:11" ht="13.8">
      <c r="A54" s="302"/>
      <c r="B54" s="300" t="s">
        <v>736</v>
      </c>
      <c r="C54" s="498">
        <f ca="1">+C52-C53</f>
        <v>-186622</v>
      </c>
      <c r="D54" s="498">
        <f ca="1">+D52-D53</f>
        <v>-1417290</v>
      </c>
      <c r="E54" s="498">
        <f ca="1">+E52-E53</f>
        <v>-1823422</v>
      </c>
      <c r="F54" s="498">
        <f ca="1">+F52-F53</f>
        <v>-1894783</v>
      </c>
      <c r="G54" s="498">
        <f ca="1">+G52-G53</f>
        <v>-1967992</v>
      </c>
      <c r="H54" s="498"/>
      <c r="I54" s="495">
        <f ca="1">SUM(C54:H54)</f>
        <v>-7290109</v>
      </c>
      <c r="J54" s="305"/>
    </row>
    <row r="55" spans="1:11" ht="13.8">
      <c r="A55" s="302"/>
      <c r="C55" s="498"/>
      <c r="D55" s="498"/>
      <c r="E55" s="498"/>
      <c r="F55" s="498"/>
      <c r="G55" s="498"/>
      <c r="H55" s="498"/>
      <c r="I55" s="495"/>
    </row>
    <row r="56" spans="1:11" ht="13.8">
      <c r="A56" s="302" t="s">
        <v>826</v>
      </c>
      <c r="C56" s="498"/>
      <c r="D56" s="498"/>
      <c r="E56" s="498"/>
      <c r="F56" s="498"/>
      <c r="G56" s="498"/>
      <c r="H56" s="498"/>
      <c r="I56" s="495"/>
    </row>
    <row r="57" spans="1:11" ht="13.8">
      <c r="A57" s="302" t="s">
        <v>250</v>
      </c>
      <c r="C57" s="498"/>
      <c r="D57" s="498"/>
      <c r="E57" s="498"/>
      <c r="F57" s="498"/>
      <c r="G57" s="498"/>
      <c r="H57" s="498"/>
      <c r="I57" s="495"/>
    </row>
    <row r="58" spans="1:11" ht="13.8">
      <c r="A58" s="302" t="s">
        <v>250</v>
      </c>
      <c r="C58" s="498"/>
      <c r="D58" s="498"/>
      <c r="E58" s="498"/>
      <c r="F58" s="498"/>
      <c r="G58" s="498"/>
      <c r="H58" s="498"/>
      <c r="I58" s="495"/>
    </row>
    <row r="59" spans="1:11" ht="13.8">
      <c r="A59" s="302"/>
      <c r="C59" s="499" t="str">
        <f>+C9</f>
        <v>FY2022</v>
      </c>
      <c r="D59" s="499" t="str">
        <f>+D9</f>
        <v>FY2023</v>
      </c>
      <c r="E59" s="499" t="str">
        <f>+E9</f>
        <v>FY2024</v>
      </c>
      <c r="F59" s="499" t="str">
        <f>+F9</f>
        <v>FY2025</v>
      </c>
      <c r="G59" s="499" t="str">
        <f>+G9</f>
        <v>FY2026</v>
      </c>
      <c r="H59" s="498"/>
      <c r="I59" s="495"/>
    </row>
    <row r="60" spans="1:11" ht="13.8">
      <c r="A60" s="302"/>
      <c r="B60" s="300" t="s">
        <v>731</v>
      </c>
      <c r="C60" s="498">
        <f ca="1">IF(MONTH(NOW())&lt;6,+'Prior-CSV'!G32,+'Prior-CSV'!H32)</f>
        <v>10061935</v>
      </c>
      <c r="D60" s="498">
        <f ca="1">IF(MONTH(NOW())&lt;6,+'Prior-CSV'!H32,+'Prior-CSV'!I32)</f>
        <v>10844841</v>
      </c>
      <c r="E60" s="498">
        <f ca="1">IF(MONTH(NOW())&lt;6,+'Prior-CSV'!I32,+'Prior-CSV'!J32)</f>
        <v>11955709</v>
      </c>
      <c r="F60" s="498">
        <f ca="1">IF(MONTH(NOW())&lt;6,+'Prior-CSV'!J32,+'Prior-CSV'!K32)</f>
        <v>12599413</v>
      </c>
      <c r="G60" s="498">
        <f ca="1">IF(MONTH(NOW())&lt;6,+'Prior-CSV'!K32,Forecast!L33)</f>
        <v>13294531</v>
      </c>
      <c r="H60" s="498"/>
      <c r="I60" s="495"/>
    </row>
    <row r="61" spans="1:11" ht="13.8">
      <c r="A61" s="302"/>
      <c r="B61" s="300" t="s">
        <v>732</v>
      </c>
      <c r="C61" s="498">
        <f>Forecast!H33</f>
        <v>11450289</v>
      </c>
      <c r="D61" s="498">
        <f>Forecast!I33</f>
        <v>11855301</v>
      </c>
      <c r="E61" s="498">
        <f>Forecast!J33</f>
        <v>12274763</v>
      </c>
      <c r="F61" s="498">
        <f>Forecast!K33</f>
        <v>12631454</v>
      </c>
      <c r="G61" s="498">
        <f>Forecast!L33</f>
        <v>13082841</v>
      </c>
      <c r="H61" s="498"/>
      <c r="I61" s="495"/>
    </row>
    <row r="62" spans="1:11" ht="13.8">
      <c r="A62" s="302"/>
      <c r="B62" s="300" t="s">
        <v>736</v>
      </c>
      <c r="C62" s="498">
        <f ca="1">+C60-C61</f>
        <v>-1388354</v>
      </c>
      <c r="D62" s="498">
        <f ca="1">+D60-D61</f>
        <v>-1010460</v>
      </c>
      <c r="E62" s="498">
        <f ca="1">+E60-E61</f>
        <v>-319054</v>
      </c>
      <c r="F62" s="498">
        <f ca="1">+F60-F61</f>
        <v>-32041</v>
      </c>
      <c r="G62" s="498">
        <f ca="1">+G60-G61</f>
        <v>211690</v>
      </c>
      <c r="H62" s="498"/>
      <c r="I62" s="495">
        <f ca="1">SUM(C62:H62)</f>
        <v>-2538219</v>
      </c>
      <c r="J62" s="305"/>
      <c r="K62" s="560"/>
    </row>
    <row r="63" spans="1:11" ht="13.8">
      <c r="A63" s="302"/>
      <c r="C63" s="498"/>
      <c r="D63" s="498"/>
      <c r="E63" s="498"/>
      <c r="F63" s="498"/>
      <c r="G63" s="498"/>
      <c r="H63" s="498"/>
      <c r="I63" s="495"/>
    </row>
    <row r="64" spans="1:11" ht="13.8">
      <c r="A64" s="302" t="s">
        <v>737</v>
      </c>
      <c r="C64" s="498"/>
      <c r="D64" s="498"/>
      <c r="E64" s="498"/>
      <c r="F64" s="498"/>
      <c r="G64" s="498"/>
      <c r="H64" s="498"/>
      <c r="I64" s="495"/>
    </row>
    <row r="65" spans="1:10" ht="13.8">
      <c r="A65" s="302"/>
      <c r="C65" s="498"/>
      <c r="D65" s="498"/>
      <c r="E65" s="498"/>
      <c r="F65" s="498"/>
      <c r="G65" s="498"/>
      <c r="H65" s="498"/>
      <c r="I65" s="495"/>
    </row>
    <row r="66" spans="1:10" ht="13.8">
      <c r="A66" s="302"/>
      <c r="C66" s="498"/>
      <c r="D66" s="498"/>
      <c r="E66" s="498"/>
      <c r="F66" s="498"/>
      <c r="G66" s="498"/>
      <c r="H66" s="498"/>
      <c r="I66" s="495"/>
    </row>
    <row r="67" spans="1:10" ht="13.8">
      <c r="A67" s="302" t="s">
        <v>250</v>
      </c>
      <c r="C67" s="498"/>
      <c r="D67" s="498"/>
      <c r="E67" s="498"/>
      <c r="F67" s="498"/>
      <c r="G67" s="498"/>
      <c r="H67" s="498"/>
      <c r="I67" s="495"/>
    </row>
    <row r="68" spans="1:10" ht="13.8">
      <c r="A68" s="302" t="s">
        <v>250</v>
      </c>
      <c r="C68" s="498"/>
      <c r="D68" s="498"/>
      <c r="E68" s="498"/>
      <c r="F68" s="498"/>
      <c r="G68" s="498"/>
      <c r="H68" s="498"/>
      <c r="I68" s="495"/>
    </row>
    <row r="69" spans="1:10" ht="13.8">
      <c r="A69" s="302"/>
      <c r="C69" s="499" t="str">
        <f>+C51</f>
        <v>FY2022</v>
      </c>
      <c r="D69" s="499" t="str">
        <f>+D51</f>
        <v>FY2023</v>
      </c>
      <c r="E69" s="499" t="str">
        <f>+E51</f>
        <v>FY2024</v>
      </c>
      <c r="F69" s="499" t="str">
        <f>+F51</f>
        <v>FY2025</v>
      </c>
      <c r="G69" s="499" t="str">
        <f>+G51</f>
        <v>FY2026</v>
      </c>
      <c r="H69" s="498"/>
      <c r="I69" s="495"/>
    </row>
    <row r="70" spans="1:10" ht="13.8">
      <c r="A70" s="302"/>
      <c r="B70" s="300" t="s">
        <v>731</v>
      </c>
      <c r="C70" s="498">
        <f ca="1">IF(MONTH(NOW())&lt;6,SUM('Prior-CSV'!G33:G45),SUM('Prior-CSV'!H33:H45))</f>
        <v>8991444</v>
      </c>
      <c r="D70" s="498">
        <f ca="1">IF(MONTH(NOW())&lt;6,SUM('Prior-CSV'!H33:H45),SUM('Prior-CSV'!I33:I45))</f>
        <v>9063705</v>
      </c>
      <c r="E70" s="498">
        <f ca="1">IF(MONTH(NOW())&lt;6,SUM('Prior-CSV'!I33:I45),SUM('Prior-CSV'!J33:J45))</f>
        <v>9535156</v>
      </c>
      <c r="F70" s="498">
        <f ca="1">IF(MONTH(NOW())&lt;6,SUM('Prior-CSV'!J33:J45),SUM('Prior-CSV'!K33:K45))</f>
        <v>9567221</v>
      </c>
      <c r="G70" s="498">
        <f ca="1">IF(MONTH(NOW())&lt;6,SUM('Prior-CSV'!K33:K45),SUM(Forecast!L34:L46))</f>
        <v>9599914</v>
      </c>
      <c r="H70" s="498"/>
      <c r="I70" s="495"/>
    </row>
    <row r="71" spans="1:10" ht="13.8">
      <c r="A71" s="302"/>
      <c r="B71" s="300" t="s">
        <v>732</v>
      </c>
      <c r="C71" s="498">
        <f>Forecast!H47-Forecast!H32-Forecast!H33</f>
        <v>5146821</v>
      </c>
      <c r="D71" s="498">
        <f>Forecast!I47-Forecast!I32-Forecast!I33</f>
        <v>5390499</v>
      </c>
      <c r="E71" s="498">
        <f>Forecast!J47-Forecast!J32-Forecast!J33</f>
        <v>5420679</v>
      </c>
      <c r="F71" s="498">
        <f>Forecast!K47-Forecast!K32-Forecast!K33</f>
        <v>5451515</v>
      </c>
      <c r="G71" s="498">
        <f>Forecast!L47-Forecast!L32-Forecast!L33</f>
        <v>5483022</v>
      </c>
      <c r="H71" s="498"/>
      <c r="I71" s="495"/>
    </row>
    <row r="72" spans="1:10" ht="13.8">
      <c r="A72" s="302"/>
      <c r="B72" s="300" t="s">
        <v>736</v>
      </c>
      <c r="C72" s="498">
        <f ca="1">+C70-C71</f>
        <v>3844623</v>
      </c>
      <c r="D72" s="498">
        <f ca="1">+D70-D71</f>
        <v>3673206</v>
      </c>
      <c r="E72" s="498">
        <f ca="1">+E70-E71</f>
        <v>4114477</v>
      </c>
      <c r="F72" s="498">
        <f ca="1">+F70-F71</f>
        <v>4115706</v>
      </c>
      <c r="G72" s="498">
        <f ca="1">+G70-G71</f>
        <v>4116892</v>
      </c>
      <c r="H72" s="498"/>
      <c r="I72" s="495">
        <f ca="1">SUM(C72:H72)</f>
        <v>19864904</v>
      </c>
      <c r="J72" s="305"/>
    </row>
    <row r="73" spans="1:10" ht="13.8">
      <c r="A73" s="302"/>
      <c r="C73" s="498"/>
      <c r="D73" s="498"/>
      <c r="E73" s="498"/>
      <c r="F73" s="498"/>
      <c r="G73" s="498"/>
      <c r="H73" s="498"/>
      <c r="I73" s="495"/>
    </row>
    <row r="74" spans="1:10" ht="13.8">
      <c r="A74" s="302" t="s">
        <v>827</v>
      </c>
      <c r="C74" s="498"/>
      <c r="D74" s="498"/>
      <c r="E74" s="498"/>
      <c r="F74" s="498"/>
      <c r="G74" s="498"/>
      <c r="H74" s="498"/>
      <c r="I74" s="495"/>
    </row>
    <row r="75" spans="1:10" ht="13.8">
      <c r="A75" s="302" t="s">
        <v>250</v>
      </c>
      <c r="C75" s="498"/>
      <c r="D75" s="498"/>
      <c r="E75" s="498"/>
      <c r="F75" s="498"/>
      <c r="G75" s="498"/>
      <c r="H75" s="498"/>
      <c r="I75" s="495"/>
    </row>
    <row r="76" spans="1:10" ht="13.8">
      <c r="A76" s="302"/>
      <c r="C76" s="499" t="str">
        <f>C69</f>
        <v>FY2022</v>
      </c>
      <c r="D76" s="499" t="str">
        <f>D69</f>
        <v>FY2023</v>
      </c>
      <c r="E76" s="499" t="str">
        <f>E69</f>
        <v>FY2024</v>
      </c>
      <c r="F76" s="499" t="str">
        <f>F69</f>
        <v>FY2025</v>
      </c>
      <c r="G76" s="499" t="str">
        <f>G69</f>
        <v>FY2026</v>
      </c>
      <c r="H76" s="498"/>
      <c r="I76" s="495"/>
    </row>
    <row r="77" spans="1:10" ht="13.8">
      <c r="A77" s="302"/>
      <c r="B77" s="300" t="s">
        <v>731</v>
      </c>
      <c r="C77" s="498">
        <f ca="1">IF(MONTH(NOW())&lt;6,+'Prior-CSV'!G52,+'Prior-CSV'!H52)</f>
        <v>35000</v>
      </c>
      <c r="D77" s="498">
        <f ca="1">IF(MONTH(NOW())&lt;6,+'Prior-CSV'!H52,+'Prior-CSV'!I52)</f>
        <v>35000</v>
      </c>
      <c r="E77" s="498">
        <f ca="1">IF(MONTH(NOW())&lt;6,+'Prior-CSV'!I52,+'Prior-CSV'!J52)</f>
        <v>35000</v>
      </c>
      <c r="F77" s="498">
        <f ca="1">IF(MONTH(NOW())&lt;6,+'Prior-CSV'!J52,+'Prior-CSV'!K52)</f>
        <v>35000</v>
      </c>
      <c r="G77" s="498">
        <f ca="1">IF(MONTH(NOW())&lt;6,+'Prior-CSV'!K52,Forecast!L53)</f>
        <v>35000</v>
      </c>
      <c r="H77" s="498"/>
      <c r="I77" s="495"/>
    </row>
    <row r="78" spans="1:10" ht="13.8">
      <c r="A78" s="302"/>
      <c r="B78" s="300" t="s">
        <v>732</v>
      </c>
      <c r="C78" s="498">
        <f>Forecast!H53</f>
        <v>35000</v>
      </c>
      <c r="D78" s="498">
        <f>Forecast!I53</f>
        <v>35000</v>
      </c>
      <c r="E78" s="498">
        <f>Forecast!J53</f>
        <v>35000</v>
      </c>
      <c r="F78" s="498">
        <f>Forecast!K53</f>
        <v>35000</v>
      </c>
      <c r="G78" s="498">
        <f>Forecast!L53</f>
        <v>35000</v>
      </c>
      <c r="H78" s="498"/>
      <c r="I78" s="495"/>
    </row>
    <row r="79" spans="1:10" ht="13.8">
      <c r="A79" s="302"/>
      <c r="B79" s="300" t="s">
        <v>736</v>
      </c>
      <c r="C79" s="498">
        <f ca="1">+C77-C78</f>
        <v>0</v>
      </c>
      <c r="D79" s="498">
        <f ca="1">+D77-D78</f>
        <v>0</v>
      </c>
      <c r="E79" s="498">
        <f ca="1">+E77-E78</f>
        <v>0</v>
      </c>
      <c r="F79" s="498">
        <f ca="1">+F77-F78</f>
        <v>0</v>
      </c>
      <c r="G79" s="498">
        <f ca="1">+G77-G78</f>
        <v>0</v>
      </c>
      <c r="H79" s="498"/>
      <c r="I79" s="495">
        <f ca="1">SUM(C79:G79)</f>
        <v>0</v>
      </c>
    </row>
    <row r="80" spans="1:10" ht="13.8">
      <c r="A80" s="302"/>
      <c r="C80" s="498"/>
      <c r="D80" s="498"/>
      <c r="E80" s="498"/>
      <c r="F80" s="498"/>
      <c r="G80" s="498"/>
      <c r="H80" s="498"/>
      <c r="I80" s="495"/>
    </row>
    <row r="81" spans="1:9" ht="13.8">
      <c r="A81" s="302" t="s">
        <v>738</v>
      </c>
      <c r="C81" s="498"/>
      <c r="D81" s="498"/>
      <c r="E81" s="498"/>
      <c r="F81" s="498"/>
      <c r="G81" s="498"/>
      <c r="H81" s="498"/>
      <c r="I81" s="495"/>
    </row>
    <row r="82" spans="1:9" ht="13.8">
      <c r="A82" s="302"/>
      <c r="C82" s="499" t="str">
        <f>C76</f>
        <v>FY2022</v>
      </c>
      <c r="D82" s="499" t="str">
        <f>D76</f>
        <v>FY2023</v>
      </c>
      <c r="E82" s="499" t="str">
        <f>E76</f>
        <v>FY2024</v>
      </c>
      <c r="F82" s="499" t="str">
        <f>F76</f>
        <v>FY2025</v>
      </c>
      <c r="G82" s="499" t="str">
        <f>G76</f>
        <v>FY2026</v>
      </c>
      <c r="H82" s="498"/>
      <c r="I82" s="495"/>
    </row>
    <row r="83" spans="1:9" ht="13.8">
      <c r="A83" s="302"/>
      <c r="B83" s="300" t="s">
        <v>739</v>
      </c>
      <c r="C83" s="498">
        <f ca="1">+C12+C20+C30+C38+C46+C54+C62+C72+C79</f>
        <v>-1048796</v>
      </c>
      <c r="D83" s="498">
        <f ca="1">+D12+D20+D30+D38+D46+D54+D62+D72+D79</f>
        <v>-1656269</v>
      </c>
      <c r="E83" s="498">
        <f ca="1">+E12+E20+E30+E38+E46+E54+E62+E72+E79</f>
        <v>-790432</v>
      </c>
      <c r="F83" s="498">
        <f ca="1">+F12+F20+F30+F38+F46+F54+F62+F72+F79</f>
        <v>168482</v>
      </c>
      <c r="G83" s="498">
        <f ca="1">+G12+G20+G30+G38+G46+G54+G62+G72+G79</f>
        <v>545659</v>
      </c>
      <c r="H83" s="498"/>
      <c r="I83" s="495"/>
    </row>
    <row r="84" spans="1:9" ht="15">
      <c r="A84" s="302"/>
      <c r="B84" s="300" t="s">
        <v>740</v>
      </c>
      <c r="C84" s="498">
        <f ca="1">C83</f>
        <v>-1048796</v>
      </c>
      <c r="D84" s="498">
        <f ca="1">+D83+C84</f>
        <v>-2705065</v>
      </c>
      <c r="E84" s="498">
        <f ca="1">+E83+D84</f>
        <v>-3495497</v>
      </c>
      <c r="F84" s="498">
        <f ca="1">+F83+E84</f>
        <v>-3327015</v>
      </c>
      <c r="G84" s="498">
        <f ca="1">+G83+F84</f>
        <v>-2781356</v>
      </c>
      <c r="H84" s="498"/>
      <c r="I84" s="496">
        <f ca="1">SUM(I12:I82)</f>
        <v>-2781356</v>
      </c>
    </row>
    <row r="85" spans="1:9" ht="13.8">
      <c r="A85" s="302"/>
      <c r="C85" s="498"/>
      <c r="D85" s="498"/>
      <c r="E85" s="498"/>
      <c r="F85" s="498"/>
      <c r="G85" s="498"/>
      <c r="H85" s="498"/>
      <c r="I85" s="498"/>
    </row>
    <row r="86" spans="1:9" ht="13.8">
      <c r="A86" s="302"/>
      <c r="C86" s="498"/>
      <c r="D86" s="498"/>
      <c r="E86" s="498"/>
      <c r="F86" s="498"/>
      <c r="G86" s="498"/>
      <c r="H86" s="498"/>
      <c r="I86" s="498"/>
    </row>
    <row r="87" spans="1:9" ht="13.8">
      <c r="A87" s="302"/>
      <c r="C87" s="498"/>
      <c r="D87" s="498"/>
      <c r="E87" s="577" t="s">
        <v>739</v>
      </c>
      <c r="F87" s="498"/>
      <c r="G87" s="575" t="s">
        <v>831</v>
      </c>
      <c r="H87" s="498"/>
      <c r="I87" s="498"/>
    </row>
    <row r="88" spans="1:9" ht="13.8">
      <c r="A88" s="302"/>
      <c r="B88" s="300" t="str">
        <f>"Original Cash Ending Balance "</f>
        <v xml:space="preserve">Original Cash Ending Balance </v>
      </c>
      <c r="C88" s="498"/>
      <c r="D88" s="498"/>
      <c r="E88" s="578">
        <f ca="1">+'Forecast vs Actual'!C59</f>
        <v>6463712</v>
      </c>
      <c r="G88" s="576">
        <f ca="1">IF(MONTH(NOW())&lt;6,+'Prior-CSV'!K59,+'Prior-CSV'!K59+E88-'Prior-CSV'!H59)</f>
        <v>-8172245</v>
      </c>
      <c r="H88" s="500"/>
      <c r="I88" s="498"/>
    </row>
    <row r="89" spans="1:9" ht="13.8">
      <c r="A89" s="302"/>
      <c r="B89" s="300" t="s">
        <v>837</v>
      </c>
      <c r="C89" s="498"/>
      <c r="D89" s="498"/>
      <c r="E89" s="578">
        <f ca="1">+'Forecast vs Actual'!E57</f>
        <v>3050</v>
      </c>
      <c r="G89" s="576">
        <f ca="1">+E89</f>
        <v>3050</v>
      </c>
      <c r="H89" s="500"/>
      <c r="I89" s="498"/>
    </row>
    <row r="90" spans="1:9" ht="13.8">
      <c r="A90" s="302"/>
      <c r="B90" s="300" t="s">
        <v>741</v>
      </c>
      <c r="C90" s="498"/>
      <c r="D90" s="498"/>
      <c r="E90" s="578">
        <f ca="1">+C84</f>
        <v>-1048796</v>
      </c>
      <c r="G90" s="576">
        <f ca="1">+I84</f>
        <v>-2781356</v>
      </c>
      <c r="H90" s="500"/>
      <c r="I90" s="498"/>
    </row>
    <row r="91" spans="1:9" ht="13.8">
      <c r="A91" s="302"/>
      <c r="B91" s="300" t="s">
        <v>742</v>
      </c>
      <c r="C91" s="498"/>
      <c r="D91" s="498"/>
      <c r="E91" s="578">
        <f ca="1">+E88+E90+E89</f>
        <v>5417966</v>
      </c>
      <c r="G91" s="576">
        <f ca="1">+G88+G90+G89</f>
        <v>-10950551</v>
      </c>
      <c r="H91" s="500"/>
      <c r="I91" s="498"/>
    </row>
    <row r="92" spans="1:9" ht="13.8">
      <c r="A92" s="302"/>
      <c r="C92" s="498"/>
      <c r="D92" s="498"/>
      <c r="E92" s="578"/>
      <c r="G92" s="576"/>
      <c r="H92" s="500"/>
      <c r="I92" s="498"/>
    </row>
    <row r="93" spans="1:9" ht="13.8">
      <c r="A93" s="302"/>
      <c r="B93" s="300" t="s">
        <v>832</v>
      </c>
      <c r="C93" s="498"/>
      <c r="D93" s="498"/>
      <c r="E93" s="578">
        <f>+Forecast!H59</f>
        <v>5417966</v>
      </c>
      <c r="G93" s="576">
        <f ca="1">IF(MONTH(NOW())&lt;6,+Forecast!L59,+Forecast!K59)</f>
        <v>-10950551</v>
      </c>
      <c r="H93" s="500"/>
      <c r="I93" s="498"/>
    </row>
    <row r="94" spans="1:9" ht="13.8">
      <c r="A94" s="302"/>
      <c r="C94" s="498"/>
      <c r="D94" s="498"/>
      <c r="E94" s="498"/>
      <c r="G94" s="500"/>
      <c r="H94" s="500"/>
      <c r="I94" s="498"/>
    </row>
    <row r="95" spans="1:9" ht="13.8">
      <c r="A95" s="302"/>
      <c r="C95" s="498"/>
      <c r="D95" s="498"/>
      <c r="E95" s="498"/>
      <c r="G95" s="498"/>
      <c r="I95" s="498"/>
    </row>
    <row r="96" spans="1:9" ht="13.8">
      <c r="A96" s="302"/>
      <c r="C96" s="498"/>
      <c r="D96" s="498"/>
      <c r="E96" s="498"/>
      <c r="G96" s="498"/>
      <c r="H96" s="151"/>
      <c r="I96" s="498"/>
    </row>
    <row r="97" spans="1:9" ht="13.8">
      <c r="A97" s="302" t="s">
        <v>743</v>
      </c>
      <c r="C97" s="498">
        <f t="shared" ref="C97:G98" ca="1" si="0">C10+C18+C28+C36+C44</f>
        <v>36176123</v>
      </c>
      <c r="D97" s="498">
        <f t="shared" ca="1" si="0"/>
        <v>36027497</v>
      </c>
      <c r="E97" s="498">
        <f t="shared" ca="1" si="0"/>
        <v>35077424</v>
      </c>
      <c r="F97" s="498">
        <f t="shared" ca="1" si="0"/>
        <v>34264550</v>
      </c>
      <c r="G97" s="498">
        <f t="shared" ca="1" si="0"/>
        <v>34191573</v>
      </c>
      <c r="H97" s="498"/>
      <c r="I97" s="498"/>
    </row>
    <row r="98" spans="1:9" ht="13.8">
      <c r="A98" s="302" t="s">
        <v>744</v>
      </c>
      <c r="C98" s="498">
        <f t="shared" si="0"/>
        <v>32857680</v>
      </c>
      <c r="D98" s="498">
        <f t="shared" si="0"/>
        <v>33125772</v>
      </c>
      <c r="E98" s="498">
        <f t="shared" si="0"/>
        <v>32314991</v>
      </c>
      <c r="F98" s="498">
        <f t="shared" si="0"/>
        <v>32244150</v>
      </c>
      <c r="G98" s="498">
        <f t="shared" si="0"/>
        <v>32376642</v>
      </c>
      <c r="H98" s="498"/>
      <c r="I98" s="498"/>
    </row>
    <row r="99" spans="1:9" ht="13.8">
      <c r="A99" s="302"/>
      <c r="C99" s="498"/>
      <c r="D99" s="498"/>
      <c r="E99" s="498"/>
      <c r="F99" s="498"/>
      <c r="G99" s="498"/>
      <c r="H99" s="498"/>
      <c r="I99" s="498"/>
    </row>
    <row r="100" spans="1:9" ht="13.8">
      <c r="A100" s="302" t="s">
        <v>745</v>
      </c>
      <c r="C100" s="498">
        <f ca="1">C52+C60+C70+C77</f>
        <v>36241712</v>
      </c>
      <c r="D100" s="498">
        <f t="shared" ref="D100:F101" ca="1" si="1">D52+D60+D70+D77</f>
        <v>36485128</v>
      </c>
      <c r="E100" s="498">
        <f t="shared" ca="1" si="1"/>
        <v>38303442</v>
      </c>
      <c r="F100" s="498">
        <f t="shared" ca="1" si="1"/>
        <v>39218746</v>
      </c>
      <c r="G100" s="498">
        <f ca="1">G52+G60+G70+G77</f>
        <v>40189685</v>
      </c>
      <c r="H100" s="498"/>
      <c r="I100" s="498"/>
    </row>
    <row r="101" spans="1:9" ht="13.8">
      <c r="A101" s="302" t="s">
        <v>746</v>
      </c>
      <c r="C101" s="498">
        <f>C53+C61+C71+C78</f>
        <v>33972065</v>
      </c>
      <c r="D101" s="498">
        <f t="shared" si="1"/>
        <v>35239672</v>
      </c>
      <c r="E101" s="498">
        <f t="shared" si="1"/>
        <v>36331441</v>
      </c>
      <c r="F101" s="498">
        <f t="shared" si="1"/>
        <v>37029864</v>
      </c>
      <c r="G101" s="498">
        <f>G53+G61+G71+G78</f>
        <v>37829095</v>
      </c>
      <c r="H101" s="498"/>
      <c r="I101" s="498"/>
    </row>
    <row r="102" spans="1:9" ht="14.4">
      <c r="A102" s="302"/>
      <c r="C102" s="598"/>
      <c r="D102" s="598"/>
      <c r="E102" s="598"/>
      <c r="F102" s="598"/>
      <c r="G102" s="598"/>
      <c r="H102" s="498"/>
      <c r="I102" s="498"/>
    </row>
    <row r="103" spans="1:9" ht="13.8">
      <c r="A103" s="302"/>
      <c r="C103" s="498"/>
      <c r="D103" s="498"/>
      <c r="E103" s="498"/>
      <c r="F103" s="498"/>
      <c r="G103" s="498"/>
      <c r="H103" s="498"/>
      <c r="I103" s="498"/>
    </row>
    <row r="104" spans="1:9" ht="14.4">
      <c r="C104" s="633"/>
      <c r="D104" s="633"/>
      <c r="E104" s="633"/>
      <c r="F104" s="633"/>
      <c r="G104" s="633"/>
    </row>
    <row r="105" spans="1:9">
      <c r="C105" s="502"/>
      <c r="D105" s="502"/>
      <c r="E105" s="502"/>
      <c r="F105" s="502"/>
      <c r="G105" s="50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  <pageSetUpPr fitToPage="1"/>
  </sheetPr>
  <dimension ref="A1:M48"/>
  <sheetViews>
    <sheetView workbookViewId="0">
      <selection activeCell="F12" sqref="F12"/>
    </sheetView>
  </sheetViews>
  <sheetFormatPr defaultColWidth="9.109375" defaultRowHeight="13.2"/>
  <cols>
    <col min="1" max="1" width="6.5546875" style="174" customWidth="1"/>
    <col min="2" max="2" width="33.5546875" style="174" customWidth="1"/>
    <col min="3" max="5" width="12.6640625" style="174" hidden="1" customWidth="1"/>
    <col min="6" max="6" width="13.33203125" style="174" bestFit="1" customWidth="1"/>
    <col min="7" max="10" width="14.5546875" style="174" bestFit="1" customWidth="1"/>
    <col min="11" max="11" width="2.109375" style="174" customWidth="1"/>
    <col min="12" max="12" width="4.109375" style="174" customWidth="1"/>
    <col min="13" max="16384" width="9.109375" style="174"/>
  </cols>
  <sheetData>
    <row r="1" spans="1:13" ht="21">
      <c r="A1" s="965" t="str">
        <f>+Cover!D58&amp;" County"</f>
        <v>Madison Local School District County</v>
      </c>
      <c r="B1" s="966"/>
      <c r="C1" s="967"/>
      <c r="D1" s="967"/>
      <c r="E1" s="967"/>
      <c r="F1" s="966"/>
      <c r="G1" s="968"/>
      <c r="H1" s="966"/>
      <c r="I1" s="966"/>
      <c r="J1" s="966"/>
      <c r="K1" s="969"/>
      <c r="M1" s="295"/>
    </row>
    <row r="2" spans="1:13">
      <c r="A2" s="970" t="str">
        <f>+Cover!D59&amp;" County"</f>
        <v>Richland County</v>
      </c>
      <c r="B2" s="966"/>
      <c r="C2" s="967"/>
      <c r="D2" s="967"/>
      <c r="E2" s="967"/>
      <c r="F2" s="966"/>
      <c r="G2" s="966"/>
      <c r="H2" s="966"/>
      <c r="I2" s="966"/>
      <c r="J2" s="966"/>
      <c r="K2" s="969"/>
    </row>
    <row r="3" spans="1:13" ht="15">
      <c r="A3" s="971" t="s">
        <v>87</v>
      </c>
      <c r="B3" s="966"/>
      <c r="C3" s="968"/>
      <c r="D3" s="968"/>
      <c r="E3" s="968"/>
      <c r="F3" s="966"/>
      <c r="G3" s="966"/>
      <c r="H3" s="966"/>
      <c r="I3" s="966"/>
      <c r="J3" s="966"/>
      <c r="K3" s="969"/>
    </row>
    <row r="4" spans="1:13" ht="15">
      <c r="A4" s="971" t="str">
        <f>"For the Fiscal Years Ended June 30, "&amp;Cover!A51&amp;", "&amp;Cover!A50&amp;" and "&amp;Cover!A49&amp;" Actual;"</f>
        <v>For the Fiscal Years Ended June 30, 2019, 2020 and 2021 Actual;</v>
      </c>
      <c r="B4" s="966"/>
      <c r="C4" s="968"/>
      <c r="D4" s="968"/>
      <c r="E4" s="968"/>
      <c r="F4" s="966"/>
      <c r="G4" s="966"/>
      <c r="H4" s="966"/>
      <c r="I4" s="966"/>
      <c r="J4" s="966"/>
      <c r="K4" s="969"/>
    </row>
    <row r="5" spans="1:13" ht="15">
      <c r="A5" s="971" t="str">
        <f>"Forecasted Fiscal Years Ending June 30, "&amp;Cover!A47&amp;" Through "&amp;Cover!E47</f>
        <v>Forecasted Fiscal Years Ending June 30, 2022 Through 2026</v>
      </c>
      <c r="B5" s="966"/>
      <c r="C5" s="968"/>
      <c r="D5" s="968"/>
      <c r="E5" s="968"/>
      <c r="F5" s="966"/>
      <c r="G5" s="966"/>
      <c r="H5" s="966"/>
      <c r="I5" s="966"/>
      <c r="J5" s="966"/>
      <c r="K5" s="969"/>
    </row>
    <row r="6" spans="1:13" ht="13.8" thickBot="1">
      <c r="A6" s="966"/>
      <c r="B6" s="966"/>
      <c r="C6" s="968"/>
      <c r="D6" s="968"/>
      <c r="E6" s="968"/>
      <c r="F6" s="968"/>
      <c r="G6" s="966"/>
      <c r="H6" s="966"/>
      <c r="I6" s="966"/>
      <c r="J6" s="966"/>
      <c r="K6" s="969"/>
    </row>
    <row r="7" spans="1:13" ht="18" thickBot="1">
      <c r="A7" s="972"/>
      <c r="B7" s="973"/>
      <c r="C7" s="974" t="s">
        <v>300</v>
      </c>
      <c r="D7" s="975"/>
      <c r="E7" s="976"/>
      <c r="F7" s="974" t="s">
        <v>88</v>
      </c>
      <c r="G7" s="975"/>
      <c r="H7" s="975"/>
      <c r="I7" s="975"/>
      <c r="J7" s="976"/>
      <c r="K7" s="969"/>
    </row>
    <row r="8" spans="1:13">
      <c r="A8" s="977" t="s">
        <v>250</v>
      </c>
      <c r="B8" s="978"/>
      <c r="C8" s="979" t="s">
        <v>89</v>
      </c>
      <c r="D8" s="980" t="s">
        <v>90</v>
      </c>
      <c r="E8" s="981" t="s">
        <v>90</v>
      </c>
      <c r="F8" s="979" t="s">
        <v>90</v>
      </c>
      <c r="G8" s="980" t="s">
        <v>90</v>
      </c>
      <c r="H8" s="980" t="s">
        <v>90</v>
      </c>
      <c r="I8" s="980" t="s">
        <v>90</v>
      </c>
      <c r="J8" s="981" t="s">
        <v>90</v>
      </c>
      <c r="K8" s="969"/>
    </row>
    <row r="9" spans="1:13">
      <c r="A9" s="977" t="s">
        <v>250</v>
      </c>
      <c r="B9" s="982"/>
      <c r="C9" s="983">
        <f>+Forecast!D9</f>
        <v>2019</v>
      </c>
      <c r="D9" s="984">
        <f>+Forecast!E9</f>
        <v>2020</v>
      </c>
      <c r="E9" s="985">
        <f>+Forecast!F9</f>
        <v>2021</v>
      </c>
      <c r="F9" s="983">
        <f>+Forecast!H9</f>
        <v>2022</v>
      </c>
      <c r="G9" s="984">
        <f>+Forecast!I9</f>
        <v>2023</v>
      </c>
      <c r="H9" s="984">
        <f>+Forecast!J9</f>
        <v>2024</v>
      </c>
      <c r="I9" s="984">
        <f>+Forecast!K9</f>
        <v>2025</v>
      </c>
      <c r="J9" s="985">
        <f>+Forecast!L9</f>
        <v>2026</v>
      </c>
      <c r="K9" s="969"/>
    </row>
    <row r="10" spans="1:13" ht="13.8">
      <c r="A10" s="986">
        <f>+Forecast!B29</f>
        <v>2.08</v>
      </c>
      <c r="B10" s="987" t="s">
        <v>100</v>
      </c>
      <c r="C10" s="988">
        <f>+Forecast!D29</f>
        <v>35126637</v>
      </c>
      <c r="D10" s="988">
        <f>+Forecast!E29</f>
        <v>34924401</v>
      </c>
      <c r="E10" s="988">
        <f>+Forecast!F29</f>
        <v>36293602</v>
      </c>
      <c r="F10" s="989">
        <f>+Forecast!H29</f>
        <v>32857680</v>
      </c>
      <c r="G10" s="988">
        <f>+Forecast!I29</f>
        <v>33125772</v>
      </c>
      <c r="H10" s="988">
        <f>+Forecast!J29</f>
        <v>32314991</v>
      </c>
      <c r="I10" s="988">
        <f>+Forecast!K29</f>
        <v>32244150</v>
      </c>
      <c r="J10" s="990">
        <f>+Forecast!L29</f>
        <v>32376642</v>
      </c>
      <c r="K10" s="969"/>
    </row>
    <row r="11" spans="1:13" ht="13.8">
      <c r="A11" s="986">
        <f>+Forecast!B54</f>
        <v>5.05</v>
      </c>
      <c r="B11" s="991" t="s">
        <v>137</v>
      </c>
      <c r="C11" s="988">
        <f>+Forecast!D54</f>
        <v>34481272</v>
      </c>
      <c r="D11" s="988">
        <f>+Forecast!E54</f>
        <v>35425248</v>
      </c>
      <c r="E11" s="988">
        <f>+Forecast!F54</f>
        <v>36290552</v>
      </c>
      <c r="F11" s="989">
        <f>+Forecast!H54</f>
        <v>33972065</v>
      </c>
      <c r="G11" s="988">
        <f>+Forecast!I54</f>
        <v>35239672</v>
      </c>
      <c r="H11" s="988">
        <f>+Forecast!J54</f>
        <v>36331441</v>
      </c>
      <c r="I11" s="988">
        <f>+Forecast!K54</f>
        <v>37029864</v>
      </c>
      <c r="J11" s="990">
        <f>+Forecast!L54</f>
        <v>37829095</v>
      </c>
      <c r="K11" s="969"/>
    </row>
    <row r="12" spans="1:13" ht="53.4">
      <c r="A12" s="996">
        <f>+Forecast!B55</f>
        <v>6.01</v>
      </c>
      <c r="B12" s="997" t="str">
        <f>+Forecast!C55</f>
        <v>Excess of Revenues and Other Financing Sources over (under) Expenditures and Other Financing Uses</v>
      </c>
      <c r="C12" s="998">
        <f t="shared" ref="C12:J12" si="0">+C10-C11</f>
        <v>645365</v>
      </c>
      <c r="D12" s="998">
        <f t="shared" si="0"/>
        <v>-500847</v>
      </c>
      <c r="E12" s="998">
        <f t="shared" si="0"/>
        <v>3050</v>
      </c>
      <c r="F12" s="999">
        <f t="shared" si="0"/>
        <v>-1114385</v>
      </c>
      <c r="G12" s="998">
        <f t="shared" si="0"/>
        <v>-2113900</v>
      </c>
      <c r="H12" s="998">
        <f t="shared" si="0"/>
        <v>-4016450</v>
      </c>
      <c r="I12" s="998">
        <f t="shared" si="0"/>
        <v>-4785714</v>
      </c>
      <c r="J12" s="1000">
        <f t="shared" si="0"/>
        <v>-5452453</v>
      </c>
      <c r="K12" s="969"/>
    </row>
    <row r="13" spans="1:13" ht="13.8">
      <c r="A13" s="986"/>
      <c r="B13" s="991"/>
      <c r="C13" s="988"/>
      <c r="D13" s="988"/>
      <c r="E13" s="988"/>
      <c r="F13" s="989"/>
      <c r="G13" s="988"/>
      <c r="H13" s="988"/>
      <c r="I13" s="988"/>
      <c r="J13" s="990"/>
      <c r="K13" s="969"/>
    </row>
    <row r="14" spans="1:13" ht="40.200000000000003">
      <c r="A14" s="986">
        <f>+Forecast!B57</f>
        <v>7.01</v>
      </c>
      <c r="B14" s="987" t="str">
        <f>+Forecast!C57</f>
        <v>Cash Balance July 1 - Excluding Proposed Renewal/Replacement and New Levies</v>
      </c>
      <c r="C14" s="988">
        <f>+Forecast!D57</f>
        <v>6384783</v>
      </c>
      <c r="D14" s="988">
        <f>+Forecast!E57</f>
        <v>7030148</v>
      </c>
      <c r="E14" s="988">
        <f>+Forecast!F57</f>
        <v>6529301</v>
      </c>
      <c r="F14" s="989">
        <f>+Forecast!H57</f>
        <v>6532351</v>
      </c>
      <c r="G14" s="988">
        <f>+Forecast!I57</f>
        <v>5417966</v>
      </c>
      <c r="H14" s="988">
        <f>+Forecast!J57</f>
        <v>3304066</v>
      </c>
      <c r="I14" s="988">
        <f>+Forecast!K57</f>
        <v>-712384</v>
      </c>
      <c r="J14" s="990">
        <f>+Forecast!L57</f>
        <v>-5498098</v>
      </c>
      <c r="K14" s="969"/>
    </row>
    <row r="15" spans="1:13" ht="13.8">
      <c r="A15" s="986"/>
      <c r="B15" s="991"/>
      <c r="C15" s="988"/>
      <c r="D15" s="988"/>
      <c r="E15" s="988"/>
      <c r="F15" s="989"/>
      <c r="G15" s="988"/>
      <c r="H15" s="988"/>
      <c r="I15" s="988"/>
      <c r="J15" s="990"/>
      <c r="K15" s="969"/>
    </row>
    <row r="16" spans="1:13" ht="13.8">
      <c r="A16" s="986">
        <f>+Forecast!B59</f>
        <v>7.02</v>
      </c>
      <c r="B16" s="987" t="str">
        <f>+Forecast!C59</f>
        <v>Cash Balance June 30</v>
      </c>
      <c r="C16" s="988">
        <f>+Forecast!D59</f>
        <v>7030148</v>
      </c>
      <c r="D16" s="988">
        <f>+Forecast!E59</f>
        <v>6529301</v>
      </c>
      <c r="E16" s="988">
        <f>+Forecast!F59</f>
        <v>6532351</v>
      </c>
      <c r="F16" s="989">
        <f>+Forecast!H59</f>
        <v>5417966</v>
      </c>
      <c r="G16" s="988">
        <f>+Forecast!I59</f>
        <v>3304066</v>
      </c>
      <c r="H16" s="988">
        <f>+Forecast!J59</f>
        <v>-712384</v>
      </c>
      <c r="I16" s="988">
        <f>+Forecast!K59</f>
        <v>-5498098</v>
      </c>
      <c r="J16" s="990">
        <f>+Forecast!L59</f>
        <v>-10950551</v>
      </c>
      <c r="K16" s="969"/>
    </row>
    <row r="17" spans="1:11" ht="13.8">
      <c r="A17" s="986"/>
      <c r="B17" s="991"/>
      <c r="C17" s="988"/>
      <c r="D17" s="988"/>
      <c r="E17" s="988"/>
      <c r="F17" s="989"/>
      <c r="G17" s="988"/>
      <c r="H17" s="988"/>
      <c r="I17" s="988"/>
      <c r="J17" s="990"/>
      <c r="K17" s="969"/>
    </row>
    <row r="18" spans="1:11" ht="13.8">
      <c r="A18" s="986"/>
      <c r="B18" s="991" t="s">
        <v>478</v>
      </c>
      <c r="C18" s="988">
        <f>+Forecast!D72+Forecast!D61</f>
        <v>0</v>
      </c>
      <c r="D18" s="988">
        <f>+Forecast!E72+Forecast!E61</f>
        <v>0</v>
      </c>
      <c r="E18" s="988">
        <f>+Forecast!F72+Forecast!F61</f>
        <v>0</v>
      </c>
      <c r="F18" s="989">
        <f>+Forecast!H72+Forecast!H61</f>
        <v>0</v>
      </c>
      <c r="G18" s="988">
        <f>+Forecast!I72+Forecast!I61</f>
        <v>0</v>
      </c>
      <c r="H18" s="988">
        <f>+Forecast!J72+Forecast!J61</f>
        <v>0</v>
      </c>
      <c r="I18" s="988">
        <f>+Forecast!K72+Forecast!K61</f>
        <v>0</v>
      </c>
      <c r="J18" s="990">
        <f>+Forecast!L72+Forecast!L61</f>
        <v>0</v>
      </c>
      <c r="K18" s="969"/>
    </row>
    <row r="19" spans="1:11" ht="13.8">
      <c r="A19" s="986"/>
      <c r="B19" s="991"/>
      <c r="C19" s="988"/>
      <c r="D19" s="988"/>
      <c r="E19" s="988"/>
      <c r="F19" s="989"/>
      <c r="G19" s="988"/>
      <c r="H19" s="988"/>
      <c r="I19" s="988"/>
      <c r="J19" s="990"/>
      <c r="K19" s="969"/>
    </row>
    <row r="20" spans="1:11" ht="27">
      <c r="A20" s="986">
        <f>+Forecast!B79</f>
        <v>11.3</v>
      </c>
      <c r="B20" s="987" t="str">
        <f>+Forecast!C79</f>
        <v>Cumulative Balance of Replacement/Renewal Levies</v>
      </c>
      <c r="C20" s="988">
        <f>+Forecast!D79</f>
        <v>0</v>
      </c>
      <c r="D20" s="988">
        <f>+Forecast!E79</f>
        <v>0</v>
      </c>
      <c r="E20" s="988">
        <f>+Forecast!F79</f>
        <v>0</v>
      </c>
      <c r="F20" s="989">
        <f>+Forecast!H79</f>
        <v>0</v>
      </c>
      <c r="G20" s="988">
        <f>+Forecast!I79</f>
        <v>903671</v>
      </c>
      <c r="H20" s="988">
        <f>+Forecast!J79</f>
        <v>2689147</v>
      </c>
      <c r="I20" s="988">
        <f>+Forecast!K79</f>
        <v>4474623</v>
      </c>
      <c r="J20" s="990">
        <f>+Forecast!L79</f>
        <v>6260099</v>
      </c>
      <c r="K20" s="969"/>
    </row>
    <row r="21" spans="1:11" ht="13.8">
      <c r="A21" s="986"/>
      <c r="B21" s="991"/>
      <c r="C21" s="988"/>
      <c r="D21" s="988"/>
      <c r="E21" s="988"/>
      <c r="F21" s="989"/>
      <c r="G21" s="988"/>
      <c r="H21" s="988"/>
      <c r="I21" s="988"/>
      <c r="J21" s="990"/>
      <c r="K21" s="969"/>
    </row>
    <row r="22" spans="1:11" ht="13.8">
      <c r="A22" s="986">
        <f>+Forecast!B91</f>
        <v>15.01</v>
      </c>
      <c r="B22" s="991" t="str">
        <f>+Forecast!C91</f>
        <v>Unreserved Fund Balance June 30</v>
      </c>
      <c r="C22" s="988">
        <f>+Forecast!D91</f>
        <v>7030148</v>
      </c>
      <c r="D22" s="988">
        <f>+Forecast!E91</f>
        <v>6529301</v>
      </c>
      <c r="E22" s="988">
        <f>+Forecast!F91</f>
        <v>6532351</v>
      </c>
      <c r="F22" s="989">
        <f>+Forecast!H91</f>
        <v>5417966</v>
      </c>
      <c r="G22" s="988">
        <f>+Forecast!I91</f>
        <v>4207737</v>
      </c>
      <c r="H22" s="988">
        <f>+Forecast!J91</f>
        <v>1976763</v>
      </c>
      <c r="I22" s="988">
        <f>+Forecast!K91</f>
        <v>-1023475</v>
      </c>
      <c r="J22" s="990">
        <f>+Forecast!L91</f>
        <v>-4690452</v>
      </c>
      <c r="K22" s="969"/>
    </row>
    <row r="23" spans="1:11" ht="14.4" thickBot="1">
      <c r="A23" s="986"/>
      <c r="B23" s="992"/>
      <c r="C23" s="993"/>
      <c r="D23" s="993"/>
      <c r="E23" s="993"/>
      <c r="F23" s="994"/>
      <c r="G23" s="993"/>
      <c r="H23" s="993"/>
      <c r="I23" s="993"/>
      <c r="J23" s="995"/>
      <c r="K23" s="969"/>
    </row>
    <row r="24" spans="1:11">
      <c r="C24" s="175"/>
      <c r="D24" s="175"/>
      <c r="E24" s="175"/>
      <c r="F24" s="175"/>
      <c r="G24" s="175"/>
      <c r="H24" s="175"/>
      <c r="I24" s="175"/>
      <c r="J24" s="175"/>
    </row>
    <row r="25" spans="1:11" ht="13.8">
      <c r="B25" s="174" t="s">
        <v>479</v>
      </c>
      <c r="C25" s="203">
        <v>27122425</v>
      </c>
      <c r="D25" s="203">
        <v>21341645</v>
      </c>
      <c r="E25" s="203">
        <v>27544690</v>
      </c>
      <c r="F25" s="202">
        <v>12087958.921265002</v>
      </c>
      <c r="G25" s="203">
        <v>13406791.629562002</v>
      </c>
      <c r="H25" s="203">
        <v>12747912.37354124</v>
      </c>
      <c r="I25" s="203">
        <v>11059704.232531268</v>
      </c>
      <c r="J25" s="204">
        <v>8291089.9935222007</v>
      </c>
    </row>
    <row r="26" spans="1:11">
      <c r="C26" s="175"/>
      <c r="D26" s="175"/>
      <c r="E26" s="175"/>
      <c r="F26" s="175"/>
      <c r="G26" s="175"/>
      <c r="H26" s="175"/>
      <c r="I26" s="175"/>
      <c r="J26" s="175"/>
    </row>
    <row r="27" spans="1:11">
      <c r="B27" s="174" t="s">
        <v>722</v>
      </c>
      <c r="C27" s="175"/>
      <c r="D27" s="175"/>
      <c r="E27" s="175"/>
      <c r="F27" s="175">
        <f>+F22-F25</f>
        <v>-6669992.9212650023</v>
      </c>
      <c r="G27" s="175">
        <f>+G22-G25</f>
        <v>-9199054.6295620017</v>
      </c>
      <c r="H27" s="175">
        <f>+H22-H25</f>
        <v>-10771149.37354124</v>
      </c>
      <c r="I27" s="175">
        <f>+I22-I25</f>
        <v>-12083179.232531268</v>
      </c>
      <c r="J27" s="175">
        <f>+J22-J25</f>
        <v>-12981541.993522201</v>
      </c>
    </row>
    <row r="28" spans="1:11" hidden="1">
      <c r="B28" s="174" t="s">
        <v>719</v>
      </c>
      <c r="C28" s="175"/>
      <c r="D28" s="175"/>
      <c r="E28" s="175"/>
      <c r="F28" s="175">
        <v>89752</v>
      </c>
      <c r="G28" s="175">
        <v>140737</v>
      </c>
      <c r="H28" s="175">
        <v>147362</v>
      </c>
      <c r="I28" s="175">
        <v>154495</v>
      </c>
      <c r="J28" s="175">
        <v>162140</v>
      </c>
    </row>
    <row r="29" spans="1:11" hidden="1">
      <c r="B29" s="174" t="s">
        <v>720</v>
      </c>
      <c r="C29" s="175"/>
      <c r="D29" s="175"/>
      <c r="E29" s="175"/>
      <c r="F29" s="175"/>
      <c r="G29" s="175">
        <v>2180015</v>
      </c>
      <c r="H29" s="175">
        <v>6681746</v>
      </c>
      <c r="I29" s="175">
        <v>11251003</v>
      </c>
      <c r="J29" s="175">
        <v>15888799</v>
      </c>
    </row>
    <row r="30" spans="1:11" hidden="1">
      <c r="B30" s="296" t="s">
        <v>724</v>
      </c>
      <c r="G30" s="175">
        <v>-777876</v>
      </c>
      <c r="H30" s="175">
        <v>-1980262</v>
      </c>
      <c r="I30" s="175">
        <v>-3216525</v>
      </c>
      <c r="J30" s="175">
        <v>-4487684</v>
      </c>
    </row>
    <row r="31" spans="1:11" hidden="1">
      <c r="B31" s="174" t="s">
        <v>721</v>
      </c>
      <c r="G31" s="175">
        <v>-248521.93999999762</v>
      </c>
      <c r="H31" s="175">
        <v>-402548.93999999762</v>
      </c>
      <c r="I31" s="175">
        <v>-556575.93999999762</v>
      </c>
      <c r="J31" s="175">
        <v>-710602.93999999762</v>
      </c>
    </row>
    <row r="32" spans="1:11" hidden="1">
      <c r="B32" s="174" t="s">
        <v>723</v>
      </c>
      <c r="G32" s="175">
        <v>-1769493</v>
      </c>
      <c r="H32" s="175">
        <v>-3807461</v>
      </c>
      <c r="I32" s="175">
        <v>-5877564</v>
      </c>
      <c r="J32" s="175">
        <v>-7979413</v>
      </c>
    </row>
    <row r="33" spans="2:12" hidden="1">
      <c r="B33" s="174" t="s">
        <v>718</v>
      </c>
      <c r="F33" s="175">
        <f>+F27-F28</f>
        <v>-6759744.9212650023</v>
      </c>
      <c r="G33" s="175">
        <f>+G27-G28-G29-G30-G31-G32</f>
        <v>-8723915.6895620041</v>
      </c>
      <c r="H33" s="175">
        <f>+H27-H28-H29-H30-H31-H32</f>
        <v>-11409985.433541242</v>
      </c>
      <c r="I33" s="175">
        <f>+I27-I28-I29-I30-I31-I32</f>
        <v>-13838012.292531271</v>
      </c>
      <c r="J33" s="175">
        <f>+J27-J28-J29-J30-J31-J32</f>
        <v>-15854781.053522203</v>
      </c>
    </row>
    <row r="34" spans="2:12" hidden="1"/>
    <row r="35" spans="2:12" hidden="1">
      <c r="F35" s="175"/>
      <c r="G35" s="175"/>
      <c r="H35" s="175"/>
      <c r="I35" s="175"/>
      <c r="J35" s="175"/>
      <c r="K35" s="175"/>
      <c r="L35" s="175"/>
    </row>
    <row r="36" spans="2:12" hidden="1">
      <c r="B36" s="174" t="s">
        <v>725</v>
      </c>
      <c r="F36" s="175"/>
      <c r="G36" s="175"/>
      <c r="H36" s="175"/>
      <c r="I36" s="175"/>
      <c r="J36" s="175"/>
      <c r="K36" s="175"/>
      <c r="L36" s="175"/>
    </row>
    <row r="37" spans="2:12" hidden="1">
      <c r="B37" s="174" t="s">
        <v>719</v>
      </c>
      <c r="F37" s="175">
        <f t="shared" ref="F37:F42" si="1">+F28</f>
        <v>89752</v>
      </c>
      <c r="G37" s="175">
        <f t="shared" ref="G37:G42" si="2">+G28-F37</f>
        <v>50985</v>
      </c>
      <c r="H37" s="175">
        <f>+H28-SUM($F37:G37)</f>
        <v>6625</v>
      </c>
      <c r="I37" s="175">
        <f>+I28-SUM($F37:H37)</f>
        <v>7133</v>
      </c>
      <c r="J37" s="175">
        <f>+J28-SUM($F37:I37)</f>
        <v>7645</v>
      </c>
      <c r="K37" s="175"/>
      <c r="L37" s="175"/>
    </row>
    <row r="38" spans="2:12" hidden="1">
      <c r="B38" s="174" t="s">
        <v>720</v>
      </c>
      <c r="F38" s="175">
        <f t="shared" si="1"/>
        <v>0</v>
      </c>
      <c r="G38" s="175">
        <f t="shared" si="2"/>
        <v>2180015</v>
      </c>
      <c r="H38" s="175">
        <f>+H29-SUM($F38:G38)</f>
        <v>4501731</v>
      </c>
      <c r="I38" s="175">
        <f>+I29-SUM($F38:H38)</f>
        <v>4569257</v>
      </c>
      <c r="J38" s="175">
        <f>+J29-SUM($F38:I38)</f>
        <v>4637796</v>
      </c>
      <c r="L38" s="175"/>
    </row>
    <row r="39" spans="2:12" hidden="1">
      <c r="B39" s="296" t="s">
        <v>724</v>
      </c>
      <c r="F39" s="175">
        <f t="shared" si="1"/>
        <v>0</v>
      </c>
      <c r="G39" s="175">
        <f t="shared" si="2"/>
        <v>-777876</v>
      </c>
      <c r="H39" s="175">
        <f>+H30-SUM($F39:G39)</f>
        <v>-1202386</v>
      </c>
      <c r="I39" s="175">
        <f>+I30-SUM($F39:H39)</f>
        <v>-1236263</v>
      </c>
      <c r="J39" s="175">
        <f>+J30-SUM($F39:I39)</f>
        <v>-1271159</v>
      </c>
      <c r="L39" s="175"/>
    </row>
    <row r="40" spans="2:12" hidden="1">
      <c r="B40" s="174" t="s">
        <v>721</v>
      </c>
      <c r="F40" s="175">
        <f t="shared" si="1"/>
        <v>0</v>
      </c>
      <c r="G40" s="175">
        <f t="shared" si="2"/>
        <v>-248521.93999999762</v>
      </c>
      <c r="H40" s="175">
        <f>+H31-SUM($F40:G40)</f>
        <v>-154027</v>
      </c>
      <c r="I40" s="175">
        <f>+I31-SUM($F40:H40)</f>
        <v>-154027</v>
      </c>
      <c r="J40" s="175">
        <f>+J31-SUM($F40:I40)</f>
        <v>-154027</v>
      </c>
      <c r="L40" s="175"/>
    </row>
    <row r="41" spans="2:12" hidden="1">
      <c r="B41" s="174" t="s">
        <v>723</v>
      </c>
      <c r="F41" s="175">
        <f t="shared" si="1"/>
        <v>0</v>
      </c>
      <c r="G41" s="175">
        <f t="shared" si="2"/>
        <v>-1769493</v>
      </c>
      <c r="H41" s="175">
        <f>+H32-SUM($F41:G41)</f>
        <v>-2037968</v>
      </c>
      <c r="I41" s="175">
        <f>+I32-SUM($F41:H41)</f>
        <v>-2070103</v>
      </c>
      <c r="J41" s="175">
        <f>+J32-SUM($F41:I41)</f>
        <v>-2101849</v>
      </c>
      <c r="K41" s="175"/>
      <c r="L41" s="175"/>
    </row>
    <row r="42" spans="2:12" hidden="1">
      <c r="B42" s="174" t="s">
        <v>718</v>
      </c>
      <c r="F42" s="175">
        <f t="shared" si="1"/>
        <v>-6759744.9212650023</v>
      </c>
      <c r="G42" s="175">
        <f t="shared" si="2"/>
        <v>-1964170.7682970017</v>
      </c>
      <c r="H42" s="175">
        <f>+H33-SUM($F42:G42)</f>
        <v>-2686069.743979238</v>
      </c>
      <c r="I42" s="175">
        <f>+I33-SUM($F42:H42)</f>
        <v>-2428026.8589900285</v>
      </c>
      <c r="J42" s="175">
        <f>+J33-SUM($F42:I42)</f>
        <v>-2016768.7609909326</v>
      </c>
      <c r="K42" s="175"/>
      <c r="L42" s="175"/>
    </row>
    <row r="43" spans="2:12" hidden="1">
      <c r="F43" s="175"/>
      <c r="G43" s="175"/>
      <c r="H43" s="175"/>
      <c r="I43" s="175"/>
      <c r="J43" s="175"/>
      <c r="K43" s="175"/>
      <c r="L43" s="175"/>
    </row>
    <row r="44" spans="2:12" hidden="1">
      <c r="F44" s="175"/>
      <c r="G44" s="175"/>
      <c r="H44" s="175"/>
      <c r="I44" s="175"/>
      <c r="J44" s="175"/>
      <c r="K44" s="175"/>
      <c r="L44" s="175"/>
    </row>
    <row r="45" spans="2:12" hidden="1">
      <c r="G45" s="175"/>
      <c r="H45" s="175"/>
      <c r="I45" s="175"/>
      <c r="J45" s="175"/>
      <c r="L45" s="175"/>
    </row>
    <row r="46" spans="2:12" hidden="1">
      <c r="G46" s="175"/>
      <c r="H46" s="175"/>
      <c r="I46" s="175"/>
      <c r="J46" s="175"/>
      <c r="L46" s="175"/>
    </row>
    <row r="47" spans="2:12">
      <c r="G47" s="175"/>
      <c r="H47" s="175"/>
      <c r="I47" s="175"/>
      <c r="J47" s="175"/>
      <c r="L47" s="175"/>
    </row>
    <row r="48" spans="2:12">
      <c r="F48" s="175"/>
      <c r="G48" s="662"/>
      <c r="H48" s="661" t="s">
        <v>983</v>
      </c>
      <c r="I48" s="661"/>
      <c r="J48" s="661"/>
      <c r="K48" s="175"/>
      <c r="L48" s="175"/>
    </row>
  </sheetData>
  <pageMargins left="0.7" right="0.7" top="0.75" bottom="0.75" header="0.3" footer="0.3"/>
  <pageSetup scale="10" orientation="landscape" horizontalDpi="300" r:id="rId1"/>
  <ignoredErrors>
    <ignoredError sqref="A4:J2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H92"/>
  <sheetViews>
    <sheetView topLeftCell="A10" workbookViewId="0">
      <selection activeCell="B13" sqref="B13:B17"/>
    </sheetView>
  </sheetViews>
  <sheetFormatPr defaultColWidth="9.109375" defaultRowHeight="13.8"/>
  <cols>
    <col min="1" max="1" width="8" style="151" bestFit="1" customWidth="1"/>
    <col min="2" max="2" width="56.33203125" style="151" customWidth="1"/>
    <col min="3" max="3" width="13.33203125" style="559" bestFit="1" customWidth="1"/>
    <col min="4" max="4" width="13" style="559" bestFit="1" customWidth="1"/>
    <col min="5" max="5" width="13" style="559" customWidth="1"/>
    <col min="6" max="6" width="10.6640625" style="151" customWidth="1"/>
    <col min="7" max="7" width="63.109375" style="505" customWidth="1"/>
    <col min="8" max="16384" width="9.109375" style="151"/>
  </cols>
  <sheetData>
    <row r="1" spans="1:7" ht="22.8">
      <c r="A1" s="1" t="str">
        <f>+Cover!D58</f>
        <v>Madison Local School District</v>
      </c>
      <c r="B1" s="2"/>
      <c r="C1" s="503"/>
      <c r="D1" s="504"/>
      <c r="E1" s="503"/>
    </row>
    <row r="2" spans="1:7">
      <c r="A2" s="5" t="str">
        <f>Forecast!B2</f>
        <v>Richland County</v>
      </c>
      <c r="B2" s="2"/>
      <c r="C2" s="503"/>
      <c r="D2" s="503"/>
      <c r="E2" s="503"/>
    </row>
    <row r="3" spans="1:7" ht="15.6">
      <c r="A3" s="6" t="s">
        <v>87</v>
      </c>
      <c r="B3" s="2"/>
      <c r="C3" s="2"/>
      <c r="D3" s="2"/>
      <c r="E3" s="2"/>
    </row>
    <row r="4" spans="1:7" ht="15.6">
      <c r="A4" s="562" t="str">
        <f ca="1">"For the Fiscal Year Ended June 30 from, "&amp;C8&amp;" "&amp;C9&amp;"-  vs. "&amp;+D8&amp;" "&amp;D9&amp;" Forecast"</f>
        <v>For the Fiscal Year Ended June 30 from, Nov 2021-  vs. May 2022 Forecast</v>
      </c>
      <c r="B4" s="563"/>
      <c r="C4" s="563"/>
      <c r="D4" s="563"/>
      <c r="E4" s="563"/>
    </row>
    <row r="5" spans="1:7" ht="15.6">
      <c r="A5" s="562"/>
      <c r="B5" s="563"/>
      <c r="C5" s="563"/>
      <c r="D5" s="563"/>
      <c r="E5" s="563"/>
    </row>
    <row r="6" spans="1:7">
      <c r="A6" s="564"/>
      <c r="B6" s="563"/>
      <c r="C6" s="563"/>
      <c r="D6" s="563"/>
      <c r="E6" s="563"/>
    </row>
    <row r="7" spans="1:7" ht="18" thickBot="1">
      <c r="A7" s="7"/>
      <c r="B7" s="8"/>
      <c r="C7" s="565" t="str">
        <f>"FY "&amp;Forecast!H9&amp;" -  Forecasted"</f>
        <v>FY 2022 -  Forecasted</v>
      </c>
      <c r="D7" s="566"/>
      <c r="E7" s="567"/>
    </row>
    <row r="8" spans="1:7">
      <c r="A8" s="568" t="s">
        <v>250</v>
      </c>
      <c r="B8" s="569"/>
      <c r="C8" s="570" t="str">
        <f ca="1">IF(MONTH(NOW())&lt;6,"Nov","May")</f>
        <v>Nov</v>
      </c>
      <c r="D8" s="570" t="str">
        <f ca="1">IF(MONTH(NOW())&lt;6,"May","Nov")</f>
        <v>May</v>
      </c>
      <c r="E8" s="571" t="s">
        <v>439</v>
      </c>
    </row>
    <row r="9" spans="1:7">
      <c r="A9" s="572" t="s">
        <v>250</v>
      </c>
      <c r="B9" s="573"/>
      <c r="C9" s="570">
        <f ca="1">IF(C8="Nov",YEAR(NOW())-1,YEAR(NOW()))</f>
        <v>2021</v>
      </c>
      <c r="D9" s="570">
        <f ca="1">YEAR(NOW())</f>
        <v>2022</v>
      </c>
      <c r="E9" s="574"/>
      <c r="G9" s="506" t="s">
        <v>424</v>
      </c>
    </row>
    <row r="10" spans="1:7">
      <c r="A10" s="9"/>
      <c r="B10" s="4"/>
      <c r="C10" s="507"/>
      <c r="D10" s="507"/>
      <c r="E10" s="508"/>
      <c r="F10" s="151" t="s">
        <v>440</v>
      </c>
    </row>
    <row r="11" spans="1:7">
      <c r="A11" s="10"/>
      <c r="B11" s="11" t="s">
        <v>93</v>
      </c>
      <c r="C11" s="509"/>
      <c r="D11" s="509"/>
      <c r="E11" s="510"/>
    </row>
    <row r="12" spans="1:7">
      <c r="A12" s="10">
        <v>1.01</v>
      </c>
      <c r="B12" s="12" t="s">
        <v>94</v>
      </c>
      <c r="C12" s="511">
        <f ca="1">VLOOKUP(A12,'Prior-CSV'!A$11:K$59,IF(MONTH(NOW())&lt;6,7,8),8)</f>
        <v>9865381</v>
      </c>
      <c r="D12" s="511">
        <f>Forecast!H12</f>
        <v>9823617</v>
      </c>
      <c r="E12" s="512">
        <f ca="1">+D12-C12</f>
        <v>-41764</v>
      </c>
      <c r="F12" s="130">
        <f ca="1">IFERROR(E12/C12,0)</f>
        <v>-4.2333894656476018E-3</v>
      </c>
    </row>
    <row r="13" spans="1:7">
      <c r="A13" s="10">
        <v>1.02</v>
      </c>
      <c r="B13" s="25" t="s">
        <v>1024</v>
      </c>
      <c r="C13" s="511">
        <f ca="1">VLOOKUP(A13,'Prior-CSV'!A$11:K$59,IF(MONTH(NOW())&lt;6,7,8),8)</f>
        <v>1654190</v>
      </c>
      <c r="D13" s="511">
        <f>Forecast!H13</f>
        <v>1732218</v>
      </c>
      <c r="E13" s="512">
        <f t="shared" ref="E13:E19" ca="1" si="0">+D13-C13</f>
        <v>78028</v>
      </c>
      <c r="F13" s="130">
        <f t="shared" ref="F13:F20" ca="1" si="1">IFERROR(E13/C13,0)</f>
        <v>4.7169913976024519E-2</v>
      </c>
      <c r="G13" s="663"/>
    </row>
    <row r="14" spans="1:7">
      <c r="A14" s="10">
        <v>1.03</v>
      </c>
      <c r="B14" s="9" t="s">
        <v>95</v>
      </c>
      <c r="C14" s="511">
        <f ca="1">VLOOKUP(A14,'Prior-CSV'!A$11:K$59,IF(MONTH(NOW())&lt;6,7,8),8)</f>
        <v>0</v>
      </c>
      <c r="D14" s="511">
        <f>Forecast!H14</f>
        <v>0</v>
      </c>
      <c r="E14" s="512">
        <f t="shared" ca="1" si="0"/>
        <v>0</v>
      </c>
      <c r="F14" s="130">
        <f t="shared" ca="1" si="1"/>
        <v>0</v>
      </c>
    </row>
    <row r="15" spans="1:7">
      <c r="A15" s="10">
        <v>1.0349999999999999</v>
      </c>
      <c r="B15" s="13" t="s">
        <v>96</v>
      </c>
      <c r="C15" s="511">
        <f ca="1">VLOOKUP(A15,'Prior-CSV'!A$11:K$59,IF(MONTH(NOW())&lt;6,7,8),8)</f>
        <v>17897110</v>
      </c>
      <c r="D15" s="511">
        <f>Forecast!H15</f>
        <v>16134504</v>
      </c>
      <c r="E15" s="512">
        <f t="shared" ca="1" si="0"/>
        <v>-1762606</v>
      </c>
      <c r="F15" s="130">
        <f t="shared" ca="1" si="1"/>
        <v>-9.8485509671673244E-2</v>
      </c>
    </row>
    <row r="16" spans="1:7">
      <c r="A16" s="10">
        <v>1.04</v>
      </c>
      <c r="B16" s="13" t="s">
        <v>97</v>
      </c>
      <c r="C16" s="511">
        <f ca="1">VLOOKUP(A16,'Prior-CSV'!A$11:K$59,IF(MONTH(NOW())&lt;6,7,8),8)</f>
        <v>1545374</v>
      </c>
      <c r="D16" s="511">
        <f>Forecast!H16</f>
        <v>1545371</v>
      </c>
      <c r="E16" s="512">
        <f t="shared" ca="1" si="0"/>
        <v>-3</v>
      </c>
      <c r="F16" s="130">
        <f t="shared" ca="1" si="1"/>
        <v>-1.9412776454114018E-6</v>
      </c>
    </row>
    <row r="17" spans="1:7">
      <c r="A17" s="10">
        <v>1.0449999999999999</v>
      </c>
      <c r="B17" s="9" t="s">
        <v>1025</v>
      </c>
      <c r="C17" s="511">
        <f ca="1">VLOOKUP(A17,'Prior-CSV'!A$11:K$59,IF(MONTH(NOW())&lt;6,7,8),8)</f>
        <v>0</v>
      </c>
      <c r="D17" s="511">
        <f>Forecast!H17</f>
        <v>0</v>
      </c>
      <c r="E17" s="512">
        <f t="shared" ca="1" si="0"/>
        <v>0</v>
      </c>
      <c r="F17" s="130">
        <f t="shared" ca="1" si="1"/>
        <v>0</v>
      </c>
    </row>
    <row r="18" spans="1:7">
      <c r="A18" s="10">
        <v>1.05</v>
      </c>
      <c r="B18" s="9" t="s">
        <v>98</v>
      </c>
      <c r="C18" s="511">
        <f ca="1">VLOOKUP(A18,'Prior-CSV'!A$11:K$59,IF(MONTH(NOW())&lt;6,7,8),8)</f>
        <v>2239533</v>
      </c>
      <c r="D18" s="511">
        <f>Forecast!H18</f>
        <v>2012084</v>
      </c>
      <c r="E18" s="512">
        <f t="shared" ca="1" si="0"/>
        <v>-227449</v>
      </c>
      <c r="F18" s="130">
        <f t="shared" ca="1" si="1"/>
        <v>-0.10156090577812428</v>
      </c>
      <c r="G18" s="594"/>
    </row>
    <row r="19" spans="1:7">
      <c r="A19" s="10">
        <v>1.06</v>
      </c>
      <c r="B19" s="9" t="s">
        <v>99</v>
      </c>
      <c r="C19" s="513">
        <f ca="1">VLOOKUP(A19,'Prior-CSV'!A$11:K$59,IF(MONTH(NOW())&lt;6,7,8),8)</f>
        <v>2072884</v>
      </c>
      <c r="D19" s="511">
        <f>Forecast!H19</f>
        <v>1205805</v>
      </c>
      <c r="E19" s="514">
        <f t="shared" ca="1" si="0"/>
        <v>-867079</v>
      </c>
      <c r="F19" s="130">
        <f t="shared" ca="1" si="1"/>
        <v>-0.41829595867400204</v>
      </c>
    </row>
    <row r="20" spans="1:7" ht="14.4">
      <c r="A20" s="14">
        <v>1.07</v>
      </c>
      <c r="B20" s="15" t="s">
        <v>100</v>
      </c>
      <c r="C20" s="515">
        <f ca="1">SUM(C12:C19)</f>
        <v>35274472</v>
      </c>
      <c r="D20" s="516">
        <f>SUM(D12:D19)</f>
        <v>32453599</v>
      </c>
      <c r="E20" s="517">
        <f ca="1">SUM(E12:E19)</f>
        <v>-2820873</v>
      </c>
      <c r="F20" s="130">
        <f t="shared" ca="1" si="1"/>
        <v>-7.9969248015958963E-2</v>
      </c>
      <c r="G20" s="518"/>
    </row>
    <row r="21" spans="1:7">
      <c r="A21" s="10"/>
      <c r="B21" s="4"/>
      <c r="C21" s="519"/>
      <c r="D21" s="520"/>
      <c r="E21" s="521"/>
      <c r="F21" s="130"/>
    </row>
    <row r="22" spans="1:7">
      <c r="A22" s="10"/>
      <c r="B22" s="11" t="s">
        <v>119</v>
      </c>
      <c r="C22" s="519"/>
      <c r="D22" s="520"/>
      <c r="E22" s="521"/>
      <c r="F22" s="130"/>
    </row>
    <row r="23" spans="1:7">
      <c r="A23" s="10">
        <v>2.0099999999999998</v>
      </c>
      <c r="B23" s="9" t="s">
        <v>120</v>
      </c>
      <c r="C23" s="511">
        <f ca="1">VLOOKUP(A23,'Prior-CSV'!A$11:K$59,IF(MONTH(NOW())&lt;6,7,8),8)</f>
        <v>0</v>
      </c>
      <c r="D23" s="511">
        <f>Forecast!H23</f>
        <v>0</v>
      </c>
      <c r="E23" s="512">
        <f ca="1">+D23-C23</f>
        <v>0</v>
      </c>
      <c r="F23" s="130">
        <f t="shared" ref="F23:F29" ca="1" si="2">IFERROR(E23/C23,0)</f>
        <v>0</v>
      </c>
    </row>
    <row r="24" spans="1:7">
      <c r="A24" s="10">
        <v>2.02</v>
      </c>
      <c r="B24" s="9" t="s">
        <v>121</v>
      </c>
      <c r="C24" s="511">
        <f ca="1">VLOOKUP(A24,'Prior-CSV'!A$11:K$59,IF(MONTH(NOW())&lt;6,7,8),8)</f>
        <v>0</v>
      </c>
      <c r="D24" s="511">
        <f>Forecast!H24</f>
        <v>0</v>
      </c>
      <c r="E24" s="512">
        <f ca="1">+D24-C24</f>
        <v>0</v>
      </c>
      <c r="F24" s="130">
        <f t="shared" ca="1" si="2"/>
        <v>0</v>
      </c>
    </row>
    <row r="25" spans="1:7">
      <c r="A25" s="10">
        <v>2.04</v>
      </c>
      <c r="B25" s="9" t="s">
        <v>122</v>
      </c>
      <c r="C25" s="511">
        <f ca="1">VLOOKUP(A25,'Prior-CSV'!A$11:K$59,IF(MONTH(NOW())&lt;6,7,8),8)</f>
        <v>0</v>
      </c>
      <c r="D25" s="511">
        <f>Forecast!H25</f>
        <v>0</v>
      </c>
      <c r="E25" s="512">
        <f ca="1">+D25-C25</f>
        <v>0</v>
      </c>
      <c r="F25" s="130">
        <f t="shared" ca="1" si="2"/>
        <v>0</v>
      </c>
    </row>
    <row r="26" spans="1:7">
      <c r="A26" s="10">
        <v>2.0499999999999998</v>
      </c>
      <c r="B26" s="9" t="s">
        <v>123</v>
      </c>
      <c r="C26" s="511">
        <f ca="1">VLOOKUP(A26,'Prior-CSV'!A$11:K$59,IF(MONTH(NOW())&lt;6,7,8),8)</f>
        <v>0</v>
      </c>
      <c r="D26" s="511">
        <f>Forecast!H26</f>
        <v>102915</v>
      </c>
      <c r="E26" s="512">
        <f ca="1">+D26-C26</f>
        <v>102915</v>
      </c>
      <c r="F26" s="130">
        <f t="shared" ca="1" si="2"/>
        <v>0</v>
      </c>
    </row>
    <row r="27" spans="1:7">
      <c r="A27" s="10">
        <v>2.06</v>
      </c>
      <c r="B27" s="9" t="s">
        <v>124</v>
      </c>
      <c r="C27" s="511">
        <f ca="1">VLOOKUP(A27,'Prior-CSV'!A$11:K$59,IF(MONTH(NOW())&lt;6,7,8),8)</f>
        <v>901651</v>
      </c>
      <c r="D27" s="511">
        <f>Forecast!H27</f>
        <v>301166</v>
      </c>
      <c r="E27" s="514">
        <f ca="1">+D27-C27</f>
        <v>-600485</v>
      </c>
      <c r="F27" s="130">
        <f t="shared" ca="1" si="2"/>
        <v>-0.66598384519065579</v>
      </c>
    </row>
    <row r="28" spans="1:7">
      <c r="A28" s="10">
        <v>2.0699999999999998</v>
      </c>
      <c r="B28" s="17" t="s">
        <v>209</v>
      </c>
      <c r="C28" s="522">
        <f ca="1">SUM(C23:C27)</f>
        <v>901651</v>
      </c>
      <c r="D28" s="516">
        <f>SUM(D23:D27)</f>
        <v>404081</v>
      </c>
      <c r="E28" s="523">
        <f ca="1">SUM(E23:E27)</f>
        <v>-497570</v>
      </c>
      <c r="F28" s="130">
        <f t="shared" ca="1" si="2"/>
        <v>-0.55184322980842926</v>
      </c>
    </row>
    <row r="29" spans="1:7" ht="14.4">
      <c r="A29" s="14">
        <v>2.08</v>
      </c>
      <c r="B29" s="15" t="s">
        <v>125</v>
      </c>
      <c r="C29" s="524">
        <f ca="1">+C28+C20</f>
        <v>36176123</v>
      </c>
      <c r="D29" s="525">
        <f>+D28+D20</f>
        <v>32857680</v>
      </c>
      <c r="E29" s="526">
        <f ca="1">+E28+E20</f>
        <v>-3318443</v>
      </c>
      <c r="F29" s="130">
        <f t="shared" ca="1" si="2"/>
        <v>-9.17302000548815E-2</v>
      </c>
    </row>
    <row r="30" spans="1:7">
      <c r="A30" s="10"/>
      <c r="B30" s="4"/>
      <c r="C30" s="527"/>
      <c r="D30" s="528"/>
      <c r="E30" s="529"/>
      <c r="F30" s="130" t="s">
        <v>250</v>
      </c>
    </row>
    <row r="31" spans="1:7">
      <c r="A31" s="10"/>
      <c r="B31" s="11" t="s">
        <v>10</v>
      </c>
      <c r="C31" s="519"/>
      <c r="D31" s="520"/>
      <c r="E31" s="521"/>
      <c r="F31" s="130" t="s">
        <v>250</v>
      </c>
    </row>
    <row r="32" spans="1:7">
      <c r="A32" s="10">
        <v>3.01</v>
      </c>
      <c r="B32" s="12" t="s">
        <v>126</v>
      </c>
      <c r="C32" s="131">
        <f ca="1">VLOOKUP(A32,'Prior-CSV'!A$11:K$59,IF(MONTH(NOW())&lt;6,7,8),8)</f>
        <v>17153333</v>
      </c>
      <c r="D32" s="511">
        <f>Forecast!H32</f>
        <v>17339955</v>
      </c>
      <c r="E32" s="512">
        <f t="shared" ref="E32:E46" ca="1" si="3">+D32-C32</f>
        <v>186622</v>
      </c>
      <c r="F32" s="130">
        <f t="shared" ref="F32:F37" ca="1" si="4">IFERROR(E32/C32,0)</f>
        <v>1.0879634879122326E-2</v>
      </c>
    </row>
    <row r="33" spans="1:8">
      <c r="A33" s="10">
        <v>3.02</v>
      </c>
      <c r="B33" s="9" t="s">
        <v>127</v>
      </c>
      <c r="C33" s="131">
        <f ca="1">VLOOKUP(A33,'Prior-CSV'!A$11:K$59,IF(MONTH(NOW())&lt;6,7,8),8)</f>
        <v>10061935</v>
      </c>
      <c r="D33" s="511">
        <f>Forecast!H33</f>
        <v>11450289</v>
      </c>
      <c r="E33" s="512">
        <f t="shared" ca="1" si="3"/>
        <v>1388354</v>
      </c>
      <c r="F33" s="130">
        <f t="shared" ca="1" si="4"/>
        <v>0.13798081581723595</v>
      </c>
    </row>
    <row r="34" spans="1:8">
      <c r="A34" s="10">
        <v>3.03</v>
      </c>
      <c r="B34" s="9" t="s">
        <v>281</v>
      </c>
      <c r="C34" s="131">
        <f ca="1">VLOOKUP(A34,'Prior-CSV'!A$11:K$59,IF(MONTH(NOW())&lt;6,7,8),8)</f>
        <v>7571058</v>
      </c>
      <c r="D34" s="511">
        <f>Forecast!H34</f>
        <v>3758656</v>
      </c>
      <c r="E34" s="512">
        <f t="shared" ca="1" si="3"/>
        <v>-3812402</v>
      </c>
      <c r="F34" s="130">
        <f t="shared" ca="1" si="4"/>
        <v>-0.50354943787248752</v>
      </c>
    </row>
    <row r="35" spans="1:8">
      <c r="A35" s="10">
        <v>3.04</v>
      </c>
      <c r="B35" s="9" t="s">
        <v>128</v>
      </c>
      <c r="C35" s="131">
        <f ca="1">VLOOKUP(A35,'Prior-CSV'!A$11:K$59,IF(MONTH(NOW())&lt;6,7,8),8)</f>
        <v>821838</v>
      </c>
      <c r="D35" s="511">
        <f>Forecast!H35</f>
        <v>652926</v>
      </c>
      <c r="E35" s="512">
        <f t="shared" ca="1" si="3"/>
        <v>-168912</v>
      </c>
      <c r="F35" s="130">
        <f t="shared" ca="1" si="4"/>
        <v>-0.20552955691997693</v>
      </c>
    </row>
    <row r="36" spans="1:8">
      <c r="A36" s="10">
        <v>3.05</v>
      </c>
      <c r="B36" s="9" t="s">
        <v>45</v>
      </c>
      <c r="C36" s="131">
        <f ca="1">VLOOKUP(A36,'Prior-CSV'!A$11:K$59,IF(MONTH(NOW())&lt;6,7,8),8)</f>
        <v>224000</v>
      </c>
      <c r="D36" s="511">
        <f>Forecast!H36</f>
        <v>323735</v>
      </c>
      <c r="E36" s="512">
        <f t="shared" ca="1" si="3"/>
        <v>99735</v>
      </c>
      <c r="F36" s="130">
        <f t="shared" ca="1" si="4"/>
        <v>0.44524553571428571</v>
      </c>
    </row>
    <row r="37" spans="1:8">
      <c r="A37" s="10">
        <v>3.06</v>
      </c>
      <c r="B37" s="9" t="s">
        <v>213</v>
      </c>
      <c r="C37" s="131">
        <f ca="1">VLOOKUP(A37,'Prior-CSV'!A$11:K$59,IF(MONTH(NOW())&lt;6,7,8),8)</f>
        <v>0</v>
      </c>
      <c r="D37" s="511">
        <f>Forecast!H37</f>
        <v>0</v>
      </c>
      <c r="E37" s="512">
        <f t="shared" ca="1" si="3"/>
        <v>0</v>
      </c>
      <c r="F37" s="130">
        <f t="shared" ca="1" si="4"/>
        <v>0</v>
      </c>
    </row>
    <row r="38" spans="1:8">
      <c r="A38" s="10"/>
      <c r="B38" s="13" t="s">
        <v>214</v>
      </c>
      <c r="C38" s="530"/>
      <c r="D38" s="511"/>
      <c r="E38" s="512"/>
      <c r="F38" s="130"/>
    </row>
    <row r="39" spans="1:8">
      <c r="A39" s="10">
        <v>4.01</v>
      </c>
      <c r="B39" s="9" t="s">
        <v>129</v>
      </c>
      <c r="C39" s="131">
        <f ca="1">VLOOKUP(A39,'Prior-CSV'!A$11:K$59,IF(MONTH(NOW())&lt;6,7,8),8)</f>
        <v>0</v>
      </c>
      <c r="D39" s="511">
        <f>Forecast!H39</f>
        <v>0</v>
      </c>
      <c r="E39" s="512">
        <f t="shared" ca="1" si="3"/>
        <v>0</v>
      </c>
      <c r="F39" s="130">
        <f t="shared" ref="F39:F61" ca="1" si="5">IFERROR(E39/C39,0)</f>
        <v>0</v>
      </c>
    </row>
    <row r="40" spans="1:8">
      <c r="A40" s="10">
        <v>4.0199999999999996</v>
      </c>
      <c r="B40" s="9" t="s">
        <v>130</v>
      </c>
      <c r="C40" s="131">
        <f ca="1">VLOOKUP(A40,'Prior-CSV'!A$11:K$59,IF(MONTH(NOW())&lt;6,7,8),8)</f>
        <v>0</v>
      </c>
      <c r="D40" s="511">
        <f>Forecast!H40</f>
        <v>0</v>
      </c>
      <c r="E40" s="512">
        <f t="shared" ca="1" si="3"/>
        <v>0</v>
      </c>
      <c r="F40" s="130">
        <f t="shared" ca="1" si="5"/>
        <v>0</v>
      </c>
      <c r="H40" s="126"/>
    </row>
    <row r="41" spans="1:8">
      <c r="A41" s="10">
        <v>4.03</v>
      </c>
      <c r="B41" s="9" t="s">
        <v>131</v>
      </c>
      <c r="C41" s="131">
        <f ca="1">VLOOKUP(A41,'Prior-CSV'!A$11:K$59,IF(MONTH(NOW())&lt;6,7,8),8)</f>
        <v>0</v>
      </c>
      <c r="D41" s="511">
        <f>Forecast!H41</f>
        <v>0</v>
      </c>
      <c r="E41" s="512">
        <f t="shared" ca="1" si="3"/>
        <v>0</v>
      </c>
      <c r="F41" s="130">
        <f t="shared" ca="1" si="5"/>
        <v>0</v>
      </c>
    </row>
    <row r="42" spans="1:8">
      <c r="A42" s="10">
        <v>4.04</v>
      </c>
      <c r="B42" s="9" t="s">
        <v>132</v>
      </c>
      <c r="C42" s="131">
        <f ca="1">VLOOKUP(A42,'Prior-CSV'!A$11:K$59,IF(MONTH(NOW())&lt;6,7,8),8)</f>
        <v>0</v>
      </c>
      <c r="D42" s="511">
        <f>Forecast!H42</f>
        <v>0</v>
      </c>
      <c r="E42" s="512">
        <f t="shared" ca="1" si="3"/>
        <v>0</v>
      </c>
      <c r="F42" s="130">
        <f t="shared" ca="1" si="5"/>
        <v>0</v>
      </c>
    </row>
    <row r="43" spans="1:8">
      <c r="A43" s="10">
        <v>4.05</v>
      </c>
      <c r="B43" s="9" t="s">
        <v>133</v>
      </c>
      <c r="C43" s="131">
        <f ca="1">VLOOKUP(A43,'Prior-CSV'!A$11:K$59,IF(MONTH(NOW())&lt;6,7,8),8)</f>
        <v>0</v>
      </c>
      <c r="D43" s="511">
        <f>Forecast!H43</f>
        <v>0</v>
      </c>
      <c r="E43" s="512">
        <f t="shared" ca="1" si="3"/>
        <v>0</v>
      </c>
      <c r="F43" s="130">
        <f t="shared" ca="1" si="5"/>
        <v>0</v>
      </c>
    </row>
    <row r="44" spans="1:8">
      <c r="A44" s="10">
        <v>4.0549999999999997</v>
      </c>
      <c r="B44" s="9" t="s">
        <v>134</v>
      </c>
      <c r="C44" s="131">
        <f ca="1">VLOOKUP(A44,'Prior-CSV'!A$11:K$59,IF(MONTH(NOW())&lt;6,7,8),8)</f>
        <v>0</v>
      </c>
      <c r="D44" s="511">
        <f>Forecast!H44</f>
        <v>0</v>
      </c>
      <c r="E44" s="512">
        <f t="shared" ca="1" si="3"/>
        <v>0</v>
      </c>
      <c r="F44" s="130">
        <f t="shared" ca="1" si="5"/>
        <v>0</v>
      </c>
    </row>
    <row r="45" spans="1:8">
      <c r="A45" s="10">
        <v>4.0599999999999996</v>
      </c>
      <c r="B45" s="9" t="s">
        <v>135</v>
      </c>
      <c r="C45" s="131">
        <f ca="1">VLOOKUP(A45,'Prior-CSV'!A$11:K$59,IF(MONTH(NOW())&lt;6,7,8),8)</f>
        <v>0</v>
      </c>
      <c r="D45" s="511">
        <f>Forecast!H45</f>
        <v>0</v>
      </c>
      <c r="E45" s="512">
        <f t="shared" ca="1" si="3"/>
        <v>0</v>
      </c>
      <c r="F45" s="130">
        <f t="shared" ca="1" si="5"/>
        <v>0</v>
      </c>
    </row>
    <row r="46" spans="1:8">
      <c r="A46" s="10">
        <v>4.3</v>
      </c>
      <c r="B46" s="9" t="s">
        <v>136</v>
      </c>
      <c r="C46" s="132">
        <f ca="1">VLOOKUP(A46,'Prior-CSV'!A$11:K$59,IF(MONTH(NOW())&lt;6,7,8),8)</f>
        <v>374548</v>
      </c>
      <c r="D46" s="511">
        <f>Forecast!H46</f>
        <v>411504</v>
      </c>
      <c r="E46" s="514">
        <f t="shared" ca="1" si="3"/>
        <v>36956</v>
      </c>
      <c r="F46" s="130">
        <f t="shared" ca="1" si="5"/>
        <v>9.8668261477834612E-2</v>
      </c>
    </row>
    <row r="47" spans="1:8" ht="14.4">
      <c r="A47" s="14">
        <v>4.5</v>
      </c>
      <c r="B47" s="18" t="s">
        <v>137</v>
      </c>
      <c r="C47" s="525">
        <f ca="1">SUM(C32:C46)</f>
        <v>36206712</v>
      </c>
      <c r="D47" s="525">
        <f>SUM(D32:D46)</f>
        <v>33937065</v>
      </c>
      <c r="E47" s="531">
        <f ca="1">SUM(E32:E46)</f>
        <v>-2269647</v>
      </c>
      <c r="F47" s="130">
        <f t="shared" ca="1" si="5"/>
        <v>-6.2685808089947517E-2</v>
      </c>
    </row>
    <row r="48" spans="1:8">
      <c r="A48" s="10"/>
      <c r="B48" s="4"/>
      <c r="C48" s="527"/>
      <c r="D48" s="511"/>
      <c r="E48" s="529"/>
      <c r="F48" s="130"/>
    </row>
    <row r="49" spans="1:6">
      <c r="A49" s="10"/>
      <c r="B49" s="11" t="s">
        <v>138</v>
      </c>
      <c r="C49" s="519"/>
      <c r="D49" s="520"/>
      <c r="E49" s="521"/>
      <c r="F49" s="130" t="s">
        <v>250</v>
      </c>
    </row>
    <row r="50" spans="1:6">
      <c r="A50" s="10">
        <v>5.01</v>
      </c>
      <c r="B50" s="12" t="s">
        <v>139</v>
      </c>
      <c r="C50" s="131">
        <f ca="1">VLOOKUP(A50,'Prior-CSV'!A$11:K$59,IF(MONTH(NOW())&lt;6,7,8),8)</f>
        <v>35000</v>
      </c>
      <c r="D50" s="511">
        <f>Forecast!H50</f>
        <v>35000</v>
      </c>
      <c r="E50" s="512">
        <f ca="1">+D50-C50</f>
        <v>0</v>
      </c>
      <c r="F50" s="130">
        <f t="shared" ca="1" si="5"/>
        <v>0</v>
      </c>
    </row>
    <row r="51" spans="1:6">
      <c r="A51" s="10">
        <v>5.0199999999999996</v>
      </c>
      <c r="B51" s="9" t="s">
        <v>140</v>
      </c>
      <c r="C51" s="131">
        <f ca="1">VLOOKUP(A51,'Prior-CSV'!A$11:K$59,IF(MONTH(NOW())&lt;6,7,8),8)</f>
        <v>0</v>
      </c>
      <c r="D51" s="511">
        <f>Forecast!H51</f>
        <v>0</v>
      </c>
      <c r="E51" s="512">
        <f ca="1">+D51-C51</f>
        <v>0</v>
      </c>
      <c r="F51" s="130">
        <f t="shared" ca="1" si="5"/>
        <v>0</v>
      </c>
    </row>
    <row r="52" spans="1:6">
      <c r="A52" s="10">
        <v>5.03</v>
      </c>
      <c r="B52" s="9" t="s">
        <v>215</v>
      </c>
      <c r="C52" s="132">
        <f ca="1">VLOOKUP(A52,'Prior-CSV'!A$11:K$59,IF(MONTH(NOW())&lt;6,7,8),8)</f>
        <v>0</v>
      </c>
      <c r="D52" s="511">
        <f>Forecast!H52</f>
        <v>0</v>
      </c>
      <c r="E52" s="514">
        <f ca="1">+D52-C52</f>
        <v>0</v>
      </c>
      <c r="F52" s="130">
        <f t="shared" ca="1" si="5"/>
        <v>0</v>
      </c>
    </row>
    <row r="53" spans="1:6">
      <c r="A53" s="10">
        <v>5.04</v>
      </c>
      <c r="B53" s="17" t="s">
        <v>216</v>
      </c>
      <c r="C53" s="532">
        <f ca="1">SUM(C50:C52)</f>
        <v>35000</v>
      </c>
      <c r="D53" s="533">
        <f>SUM(D50:D52)</f>
        <v>35000</v>
      </c>
      <c r="E53" s="534">
        <f ca="1">SUM(E50:E52)</f>
        <v>0</v>
      </c>
      <c r="F53" s="130">
        <f t="shared" ca="1" si="5"/>
        <v>0</v>
      </c>
    </row>
    <row r="54" spans="1:6" ht="14.4">
      <c r="A54" s="14">
        <v>5.05</v>
      </c>
      <c r="B54" s="15" t="s">
        <v>217</v>
      </c>
      <c r="C54" s="535">
        <f ca="1">+C53+C47</f>
        <v>36241712</v>
      </c>
      <c r="D54" s="536">
        <f>+D53+D47</f>
        <v>33972065</v>
      </c>
      <c r="E54" s="536">
        <f ca="1">+E53+E47</f>
        <v>-2269647</v>
      </c>
      <c r="F54" s="130">
        <f t="shared" ca="1" si="5"/>
        <v>-6.2625270020356658E-2</v>
      </c>
    </row>
    <row r="55" spans="1:6" ht="28.8">
      <c r="A55" s="19">
        <v>6.01</v>
      </c>
      <c r="B55" s="20" t="s">
        <v>141</v>
      </c>
      <c r="C55" s="537">
        <f ca="1">+C29-C54</f>
        <v>-65589</v>
      </c>
      <c r="D55" s="538">
        <f>+D29-D54</f>
        <v>-1114385</v>
      </c>
      <c r="E55" s="539">
        <f ca="1">+E29-E54</f>
        <v>-1048796</v>
      </c>
      <c r="F55" s="130">
        <f t="shared" ca="1" si="5"/>
        <v>15.990425223741786</v>
      </c>
    </row>
    <row r="56" spans="1:6">
      <c r="A56" s="10"/>
      <c r="B56" s="17"/>
      <c r="C56" s="519"/>
      <c r="D56" s="520"/>
      <c r="E56" s="521"/>
      <c r="F56" s="130" t="s">
        <v>250</v>
      </c>
    </row>
    <row r="57" spans="1:6" ht="28.2">
      <c r="A57" s="19">
        <v>7.01</v>
      </c>
      <c r="B57" s="21" t="s">
        <v>142</v>
      </c>
      <c r="C57" s="132">
        <f ca="1">VLOOKUP(A57,'Prior-CSV'!A$11:K$59,IF(MONTH(NOW())&lt;6,7,8),8)</f>
        <v>6529301</v>
      </c>
      <c r="D57" s="513">
        <f>Forecast!H57</f>
        <v>6532351</v>
      </c>
      <c r="E57" s="514">
        <f ca="1">+D57-C57</f>
        <v>3050</v>
      </c>
      <c r="F57" s="130">
        <f t="shared" ca="1" si="5"/>
        <v>4.6712504140948623E-4</v>
      </c>
    </row>
    <row r="58" spans="1:6">
      <c r="A58" s="10"/>
      <c r="B58" s="4"/>
      <c r="C58" s="540"/>
      <c r="D58" s="541"/>
      <c r="E58" s="542"/>
      <c r="F58" s="130" t="s">
        <v>250</v>
      </c>
    </row>
    <row r="59" spans="1:6" ht="14.4">
      <c r="A59" s="14">
        <v>7.02</v>
      </c>
      <c r="B59" s="22" t="s">
        <v>143</v>
      </c>
      <c r="C59" s="532">
        <f ca="1">+C55+C57</f>
        <v>6463712</v>
      </c>
      <c r="D59" s="543">
        <f>+D55+D57</f>
        <v>5417966</v>
      </c>
      <c r="E59" s="534">
        <f ca="1">+E57+E55</f>
        <v>-1045746</v>
      </c>
      <c r="F59" s="130">
        <f t="shared" ca="1" si="5"/>
        <v>-0.16178722071775475</v>
      </c>
    </row>
    <row r="60" spans="1:6">
      <c r="A60" s="10"/>
      <c r="B60" s="23"/>
      <c r="C60" s="131"/>
      <c r="D60" s="511"/>
      <c r="E60" s="512"/>
      <c r="F60" s="130" t="s">
        <v>250</v>
      </c>
    </row>
    <row r="61" spans="1:6" ht="14.4">
      <c r="A61" s="14">
        <v>8.01</v>
      </c>
      <c r="B61" s="15" t="s">
        <v>144</v>
      </c>
      <c r="C61" s="131">
        <f>+D61</f>
        <v>0</v>
      </c>
      <c r="D61" s="511">
        <f>Forecast!H61</f>
        <v>0</v>
      </c>
      <c r="E61" s="514">
        <f>+D61-C61</f>
        <v>0</v>
      </c>
      <c r="F61" s="130">
        <f t="shared" si="5"/>
        <v>0</v>
      </c>
    </row>
    <row r="62" spans="1:6">
      <c r="A62" s="10"/>
      <c r="B62" s="17"/>
      <c r="C62" s="527"/>
      <c r="D62" s="528"/>
      <c r="E62" s="521"/>
      <c r="F62" s="130"/>
    </row>
    <row r="63" spans="1:6">
      <c r="A63" s="10"/>
      <c r="B63" s="24" t="s">
        <v>145</v>
      </c>
      <c r="C63" s="519"/>
      <c r="D63" s="520"/>
      <c r="E63" s="521"/>
      <c r="F63" s="130"/>
    </row>
    <row r="64" spans="1:6">
      <c r="A64" s="10">
        <v>9.01</v>
      </c>
      <c r="B64" s="25" t="s">
        <v>146</v>
      </c>
      <c r="C64" s="131">
        <f>+Forecast!H64</f>
        <v>0</v>
      </c>
      <c r="D64" s="511">
        <f>Forecast!H64</f>
        <v>0</v>
      </c>
      <c r="E64" s="512">
        <f t="shared" ref="E64:E72" si="6">+D64-C64</f>
        <v>0</v>
      </c>
      <c r="F64" s="130">
        <f t="shared" ref="F64:F73" si="7">IFERROR(E64/C64,0)</f>
        <v>0</v>
      </c>
    </row>
    <row r="65" spans="1:6" s="151" customFormat="1">
      <c r="A65" s="10">
        <v>9.02</v>
      </c>
      <c r="B65" s="25" t="s">
        <v>147</v>
      </c>
      <c r="C65" s="131">
        <f>+Forecast!H65</f>
        <v>0</v>
      </c>
      <c r="D65" s="511">
        <f>Forecast!H65</f>
        <v>0</v>
      </c>
      <c r="E65" s="512">
        <f t="shared" si="6"/>
        <v>0</v>
      </c>
      <c r="F65" s="130">
        <f t="shared" si="7"/>
        <v>0</v>
      </c>
    </row>
    <row r="66" spans="1:6" s="151" customFormat="1">
      <c r="A66" s="10">
        <v>9.0299999999999994</v>
      </c>
      <c r="B66" s="25" t="s">
        <v>148</v>
      </c>
      <c r="C66" s="131">
        <f>+Forecast!H66</f>
        <v>0</v>
      </c>
      <c r="D66" s="511">
        <f>Forecast!H66</f>
        <v>0</v>
      </c>
      <c r="E66" s="512">
        <f t="shared" si="6"/>
        <v>0</v>
      </c>
      <c r="F66" s="130">
        <f t="shared" si="7"/>
        <v>0</v>
      </c>
    </row>
    <row r="67" spans="1:6" s="151" customFormat="1">
      <c r="A67" s="10">
        <v>9.0399999999999991</v>
      </c>
      <c r="B67" s="25" t="s">
        <v>149</v>
      </c>
      <c r="C67" s="131">
        <f>+Forecast!H67</f>
        <v>0</v>
      </c>
      <c r="D67" s="511">
        <f>Forecast!H67</f>
        <v>0</v>
      </c>
      <c r="E67" s="512">
        <f t="shared" si="6"/>
        <v>0</v>
      </c>
      <c r="F67" s="130">
        <f t="shared" si="7"/>
        <v>0</v>
      </c>
    </row>
    <row r="68" spans="1:6" s="151" customFormat="1">
      <c r="A68" s="10">
        <v>9.0449999999999999</v>
      </c>
      <c r="B68" s="25" t="s">
        <v>150</v>
      </c>
      <c r="C68" s="131">
        <f>+Forecast!H68</f>
        <v>0</v>
      </c>
      <c r="D68" s="511">
        <f>Forecast!H68</f>
        <v>0</v>
      </c>
      <c r="E68" s="512">
        <f t="shared" si="6"/>
        <v>0</v>
      </c>
      <c r="F68" s="130">
        <f t="shared" si="7"/>
        <v>0</v>
      </c>
    </row>
    <row r="69" spans="1:6" s="151" customFormat="1">
      <c r="A69" s="10">
        <v>9.0500000000000007</v>
      </c>
      <c r="B69" s="25" t="s">
        <v>151</v>
      </c>
      <c r="C69" s="131">
        <f>+Forecast!H69</f>
        <v>0</v>
      </c>
      <c r="D69" s="511">
        <f>Forecast!H69</f>
        <v>0</v>
      </c>
      <c r="E69" s="512">
        <f t="shared" si="6"/>
        <v>0</v>
      </c>
      <c r="F69" s="130">
        <f t="shared" si="7"/>
        <v>0</v>
      </c>
    </row>
    <row r="70" spans="1:6" s="151" customFormat="1">
      <c r="A70" s="10">
        <v>9.06</v>
      </c>
      <c r="B70" s="25" t="s">
        <v>152</v>
      </c>
      <c r="C70" s="131">
        <f>+Forecast!H70</f>
        <v>0</v>
      </c>
      <c r="D70" s="511">
        <f>Forecast!H70</f>
        <v>0</v>
      </c>
      <c r="E70" s="512">
        <f t="shared" si="6"/>
        <v>0</v>
      </c>
      <c r="F70" s="130">
        <f t="shared" si="7"/>
        <v>0</v>
      </c>
    </row>
    <row r="71" spans="1:6" s="151" customFormat="1">
      <c r="A71" s="10">
        <v>9.07</v>
      </c>
      <c r="B71" s="25" t="s">
        <v>153</v>
      </c>
      <c r="C71" s="131">
        <f>+Forecast!H71</f>
        <v>0</v>
      </c>
      <c r="D71" s="511">
        <f>Forecast!H71</f>
        <v>0</v>
      </c>
      <c r="E71" s="512">
        <f t="shared" si="6"/>
        <v>0</v>
      </c>
      <c r="F71" s="130">
        <f t="shared" si="7"/>
        <v>0</v>
      </c>
    </row>
    <row r="72" spans="1:6" s="151" customFormat="1" ht="14.4">
      <c r="A72" s="14">
        <v>9.08</v>
      </c>
      <c r="B72" s="26" t="s">
        <v>154</v>
      </c>
      <c r="C72" s="544">
        <f>SUM(C64:C71)</f>
        <v>0</v>
      </c>
      <c r="D72" s="513">
        <f>Forecast!H72</f>
        <v>0</v>
      </c>
      <c r="E72" s="514">
        <f t="shared" si="6"/>
        <v>0</v>
      </c>
      <c r="F72" s="130">
        <f t="shared" si="7"/>
        <v>0</v>
      </c>
    </row>
    <row r="73" spans="1:6" s="151" customFormat="1" ht="14.4">
      <c r="A73" s="14">
        <v>10.01</v>
      </c>
      <c r="B73" s="27" t="s">
        <v>155</v>
      </c>
      <c r="C73" s="525">
        <f ca="1">+C59-C61-C72</f>
        <v>6463712</v>
      </c>
      <c r="D73" s="531">
        <f>+D59-D61</f>
        <v>5417966</v>
      </c>
      <c r="E73" s="531">
        <f ca="1">+E59-E61</f>
        <v>-1045746</v>
      </c>
      <c r="F73" s="130">
        <f t="shared" ca="1" si="7"/>
        <v>-0.16178722071775475</v>
      </c>
    </row>
    <row r="74" spans="1:6" s="151" customFormat="1">
      <c r="A74" s="10"/>
      <c r="B74" s="17"/>
      <c r="C74" s="528"/>
      <c r="D74" s="529"/>
      <c r="E74" s="529"/>
      <c r="F74" s="130"/>
    </row>
    <row r="75" spans="1:6" s="151" customFormat="1">
      <c r="A75" s="10"/>
      <c r="B75" s="28" t="s">
        <v>156</v>
      </c>
      <c r="C75" s="520"/>
      <c r="D75" s="521"/>
      <c r="E75" s="521"/>
      <c r="F75" s="130"/>
    </row>
    <row r="76" spans="1:6" s="151" customFormat="1">
      <c r="A76" s="10">
        <v>11.01</v>
      </c>
      <c r="B76" s="9" t="s">
        <v>157</v>
      </c>
      <c r="C76" s="545">
        <v>0</v>
      </c>
      <c r="D76" s="511">
        <f>Forecast!H76</f>
        <v>0</v>
      </c>
      <c r="E76" s="512">
        <f>+D76-C76</f>
        <v>0</v>
      </c>
      <c r="F76" s="130">
        <f t="shared" ref="F76:F77" si="8">IFERROR(E76/C76,0)</f>
        <v>0</v>
      </c>
    </row>
    <row r="77" spans="1:6" s="151" customFormat="1">
      <c r="A77" s="10">
        <v>11.02</v>
      </c>
      <c r="B77" s="9" t="s">
        <v>158</v>
      </c>
      <c r="C77" s="545">
        <v>0</v>
      </c>
      <c r="D77" s="511">
        <f>Forecast!H77</f>
        <v>0</v>
      </c>
      <c r="E77" s="512">
        <f>+D77-C77</f>
        <v>0</v>
      </c>
      <c r="F77" s="130">
        <f t="shared" si="8"/>
        <v>0</v>
      </c>
    </row>
    <row r="78" spans="1:6" s="151" customFormat="1">
      <c r="A78" s="10"/>
      <c r="B78" s="4"/>
      <c r="C78" s="546"/>
      <c r="D78" s="547"/>
      <c r="E78" s="547"/>
      <c r="F78" s="130"/>
    </row>
    <row r="79" spans="1:6" s="151" customFormat="1" ht="14.4">
      <c r="A79" s="14">
        <v>11.3</v>
      </c>
      <c r="B79" s="16" t="s">
        <v>159</v>
      </c>
      <c r="C79" s="548">
        <v>0</v>
      </c>
      <c r="D79" s="549">
        <f>+D76+D77</f>
        <v>0</v>
      </c>
      <c r="E79" s="549">
        <f>SUM(E76:E77)</f>
        <v>0</v>
      </c>
      <c r="F79" s="130">
        <f t="shared" ref="F79:F80" si="9">IFERROR(E79/C79,0)</f>
        <v>0</v>
      </c>
    </row>
    <row r="80" spans="1:6" s="151" customFormat="1" ht="28.8">
      <c r="A80" s="19">
        <v>12.01</v>
      </c>
      <c r="B80" s="20" t="s">
        <v>160</v>
      </c>
      <c r="C80" s="536">
        <f ca="1">+C73+C79</f>
        <v>6463712</v>
      </c>
      <c r="D80" s="536">
        <f>+D73+D79</f>
        <v>5417966</v>
      </c>
      <c r="E80" s="531">
        <f ca="1">+E79+E73</f>
        <v>-1045746</v>
      </c>
      <c r="F80" s="130">
        <f t="shared" ca="1" si="9"/>
        <v>-0.16178722071775475</v>
      </c>
    </row>
    <row r="81" spans="1:6" s="151" customFormat="1">
      <c r="A81" s="10"/>
      <c r="B81" s="4"/>
      <c r="C81" s="528"/>
      <c r="D81" s="528"/>
      <c r="E81" s="529"/>
      <c r="F81" s="130"/>
    </row>
    <row r="82" spans="1:6" s="151" customFormat="1">
      <c r="A82" s="10"/>
      <c r="B82" s="4"/>
      <c r="C82" s="520"/>
      <c r="D82" s="520"/>
      <c r="E82" s="521"/>
      <c r="F82" s="130"/>
    </row>
    <row r="83" spans="1:6" s="151" customFormat="1">
      <c r="A83" s="10"/>
      <c r="B83" s="24" t="s">
        <v>161</v>
      </c>
      <c r="C83" s="520"/>
      <c r="D83" s="520"/>
      <c r="E83" s="521"/>
      <c r="F83" s="130"/>
    </row>
    <row r="84" spans="1:6" s="151" customFormat="1">
      <c r="A84" s="10">
        <v>13.01</v>
      </c>
      <c r="B84" s="25" t="s">
        <v>162</v>
      </c>
      <c r="C84" s="545">
        <v>0</v>
      </c>
      <c r="D84" s="511">
        <f>Forecast!H84</f>
        <v>0</v>
      </c>
      <c r="E84" s="512">
        <f>+D84-C84</f>
        <v>0</v>
      </c>
      <c r="F84" s="130">
        <f t="shared" ref="F84:F85" si="10">IFERROR(E84/C84,0)</f>
        <v>0</v>
      </c>
    </row>
    <row r="85" spans="1:6" s="151" customFormat="1">
      <c r="A85" s="10">
        <v>13.02</v>
      </c>
      <c r="B85" s="25" t="s">
        <v>163</v>
      </c>
      <c r="C85" s="545">
        <v>0</v>
      </c>
      <c r="D85" s="511">
        <f>Forecast!H85</f>
        <v>0</v>
      </c>
      <c r="E85" s="512">
        <f>+D85-C85</f>
        <v>0</v>
      </c>
      <c r="F85" s="130">
        <f t="shared" si="10"/>
        <v>0</v>
      </c>
    </row>
    <row r="86" spans="1:6" s="151" customFormat="1">
      <c r="A86" s="10"/>
      <c r="B86" s="4"/>
      <c r="C86" s="546"/>
      <c r="D86" s="546"/>
      <c r="E86" s="547"/>
      <c r="F86" s="130"/>
    </row>
    <row r="87" spans="1:6" s="151" customFormat="1">
      <c r="A87" s="14">
        <v>13.03</v>
      </c>
      <c r="B87" s="16" t="s">
        <v>164</v>
      </c>
      <c r="C87" s="550">
        <f>+C84+C85</f>
        <v>0</v>
      </c>
      <c r="D87" s="550">
        <f>+D84+D85</f>
        <v>0</v>
      </c>
      <c r="E87" s="551">
        <f>SUM(E84:E86)</f>
        <v>0</v>
      </c>
      <c r="F87" s="130">
        <f t="shared" ref="F87" si="11">IFERROR(E87/C87,0)</f>
        <v>0</v>
      </c>
    </row>
    <row r="88" spans="1:6" s="151" customFormat="1">
      <c r="A88" s="10"/>
      <c r="B88" s="4"/>
      <c r="C88" s="520"/>
      <c r="D88" s="520"/>
      <c r="E88" s="521"/>
      <c r="F88" s="130"/>
    </row>
    <row r="89" spans="1:6" s="151" customFormat="1">
      <c r="A89" s="10">
        <v>14.01</v>
      </c>
      <c r="B89" s="9" t="s">
        <v>165</v>
      </c>
      <c r="C89" s="545">
        <v>0</v>
      </c>
      <c r="D89" s="511">
        <f>Forecast!H89</f>
        <v>0</v>
      </c>
      <c r="E89" s="552">
        <v>0</v>
      </c>
      <c r="F89" s="130">
        <f t="shared" ref="F89" si="12">IFERROR(E89/C89,0)</f>
        <v>0</v>
      </c>
    </row>
    <row r="90" spans="1:6" s="151" customFormat="1">
      <c r="A90" s="4"/>
      <c r="B90" s="4"/>
      <c r="C90" s="553"/>
      <c r="D90" s="511"/>
      <c r="E90" s="554"/>
      <c r="F90" s="130"/>
    </row>
    <row r="91" spans="1:6" s="151" customFormat="1" ht="15" thickBot="1">
      <c r="A91" s="14">
        <v>15.01</v>
      </c>
      <c r="B91" s="15" t="s">
        <v>166</v>
      </c>
      <c r="C91" s="555">
        <f ca="1">+C87+C80+C89</f>
        <v>6463712</v>
      </c>
      <c r="D91" s="556">
        <f>+D87+D80+D89</f>
        <v>5417966</v>
      </c>
      <c r="E91" s="557">
        <f ca="1">+E89+E87+E80</f>
        <v>-1045746</v>
      </c>
      <c r="F91" s="130">
        <f t="shared" ref="F91" ca="1" si="13">IFERROR(E91/C91,0)</f>
        <v>-0.16178722071775475</v>
      </c>
    </row>
    <row r="92" spans="1:6" s="151" customFormat="1" ht="14.4" thickTop="1">
      <c r="A92" s="4"/>
      <c r="B92" s="4"/>
      <c r="C92" s="558"/>
      <c r="D92" s="558"/>
      <c r="E92" s="558"/>
    </row>
  </sheetData>
  <pageMargins left="0.7" right="0.7" top="0.75" bottom="0.75" header="0.3" footer="0.3"/>
  <ignoredErrors>
    <ignoredError sqref="C7:E9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U343"/>
  <sheetViews>
    <sheetView topLeftCell="A193" zoomScale="90" zoomScaleNormal="90" workbookViewId="0">
      <selection activeCell="J219" sqref="J219"/>
    </sheetView>
  </sheetViews>
  <sheetFormatPr defaultColWidth="9.109375" defaultRowHeight="13.2"/>
  <cols>
    <col min="1" max="1" width="39.109375" style="151" customWidth="1"/>
    <col min="2" max="3" width="9.109375" style="151"/>
    <col min="4" max="13" width="15.6640625" style="151" customWidth="1"/>
    <col min="14" max="14" width="9.109375" style="151"/>
    <col min="15" max="15" width="15.6640625" style="151" hidden="1" customWidth="1"/>
    <col min="16" max="16" width="11.109375" style="151" hidden="1" customWidth="1"/>
    <col min="17" max="17" width="11.6640625" style="151" bestFit="1" customWidth="1"/>
    <col min="18" max="18" width="11.33203125" style="151" bestFit="1" customWidth="1"/>
    <col min="19" max="16384" width="9.109375" style="151"/>
  </cols>
  <sheetData>
    <row r="1" spans="1:16" ht="13.8">
      <c r="A1" s="62" t="s">
        <v>310</v>
      </c>
      <c r="B1" s="62"/>
      <c r="C1" s="62"/>
      <c r="D1" s="68"/>
      <c r="E1" s="68"/>
      <c r="F1" s="68"/>
      <c r="G1" s="68"/>
      <c r="H1" s="68"/>
      <c r="I1" s="68"/>
      <c r="J1" s="68"/>
      <c r="K1" s="68"/>
      <c r="L1" s="68"/>
      <c r="M1" s="68"/>
      <c r="N1" s="142"/>
      <c r="O1" s="68"/>
    </row>
    <row r="2" spans="1:16" ht="13.8">
      <c r="A2" s="1594" t="str">
        <f>+Cover!D58</f>
        <v>Madison Local School District</v>
      </c>
      <c r="B2" s="1594"/>
      <c r="C2" s="1594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6" ht="13.8">
      <c r="A3" s="579">
        <v>42988</v>
      </c>
      <c r="B3" s="62"/>
      <c r="C3" s="6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6" ht="13.8">
      <c r="A4" s="142"/>
      <c r="B4" s="142"/>
      <c r="C4" s="142"/>
      <c r="D4" s="56" t="s">
        <v>300</v>
      </c>
      <c r="E4" s="56" t="s">
        <v>300</v>
      </c>
      <c r="F4" s="56" t="s">
        <v>300</v>
      </c>
      <c r="G4" s="56" t="s">
        <v>300</v>
      </c>
      <c r="H4" s="56" t="s">
        <v>300</v>
      </c>
      <c r="I4" s="64" t="s">
        <v>189</v>
      </c>
      <c r="J4" s="64" t="s">
        <v>189</v>
      </c>
      <c r="K4" s="64" t="s">
        <v>189</v>
      </c>
      <c r="L4" s="64" t="s">
        <v>189</v>
      </c>
      <c r="M4" s="64" t="s">
        <v>189</v>
      </c>
      <c r="N4" s="142"/>
      <c r="O4" s="64" t="s">
        <v>189</v>
      </c>
    </row>
    <row r="5" spans="1:16" ht="13.8">
      <c r="A5" s="686" t="s">
        <v>311</v>
      </c>
      <c r="B5" s="687"/>
      <c r="C5" s="142"/>
      <c r="D5" s="683" t="s">
        <v>442</v>
      </c>
      <c r="E5" s="683" t="s">
        <v>482</v>
      </c>
      <c r="F5" s="683" t="s">
        <v>681</v>
      </c>
      <c r="G5" s="683" t="s">
        <v>747</v>
      </c>
      <c r="H5" s="683" t="s">
        <v>810</v>
      </c>
      <c r="I5" s="683" t="s">
        <v>835</v>
      </c>
      <c r="J5" s="683" t="s">
        <v>896</v>
      </c>
      <c r="K5" s="683" t="s">
        <v>904</v>
      </c>
      <c r="L5" s="708" t="s">
        <v>922</v>
      </c>
      <c r="M5" s="1553" t="s">
        <v>1071</v>
      </c>
      <c r="N5" s="142"/>
      <c r="O5" s="1484" t="s">
        <v>810</v>
      </c>
    </row>
    <row r="6" spans="1:16" ht="13.8">
      <c r="A6" s="142"/>
      <c r="B6" s="142"/>
      <c r="C6" s="142"/>
      <c r="D6" s="65" t="s">
        <v>444</v>
      </c>
      <c r="E6" s="65" t="s">
        <v>483</v>
      </c>
      <c r="F6" s="65" t="s">
        <v>682</v>
      </c>
      <c r="G6" s="65" t="s">
        <v>748</v>
      </c>
      <c r="H6" s="65" t="s">
        <v>811</v>
      </c>
      <c r="I6" s="65" t="s">
        <v>836</v>
      </c>
      <c r="J6" s="65" t="s">
        <v>897</v>
      </c>
      <c r="K6" s="65" t="s">
        <v>905</v>
      </c>
      <c r="L6" s="65" t="s">
        <v>923</v>
      </c>
      <c r="M6" s="65" t="s">
        <v>1072</v>
      </c>
      <c r="N6" s="142"/>
      <c r="O6" s="65" t="s">
        <v>811</v>
      </c>
    </row>
    <row r="7" spans="1:16" ht="13.8">
      <c r="A7" s="142" t="s">
        <v>44</v>
      </c>
      <c r="B7" s="142"/>
      <c r="C7" s="142"/>
      <c r="D7" s="66">
        <f>+D120</f>
        <v>233961080</v>
      </c>
      <c r="E7" s="66">
        <f t="shared" ref="E7:L7" si="0">+E120</f>
        <v>241793210</v>
      </c>
      <c r="F7" s="66">
        <f t="shared" si="0"/>
        <v>238729720</v>
      </c>
      <c r="G7" s="66">
        <f t="shared" si="0"/>
        <v>239074860</v>
      </c>
      <c r="H7" s="66">
        <f t="shared" si="0"/>
        <v>281122450</v>
      </c>
      <c r="I7" s="66">
        <f t="shared" si="0"/>
        <v>281781360</v>
      </c>
      <c r="J7" s="66">
        <f t="shared" si="0"/>
        <v>282440270</v>
      </c>
      <c r="K7" s="66">
        <f t="shared" si="0"/>
        <v>285923582.69999999</v>
      </c>
      <c r="L7" s="66">
        <f t="shared" si="0"/>
        <v>286582492.69999999</v>
      </c>
      <c r="M7" s="66">
        <f t="shared" ref="M7" si="1">+M120</f>
        <v>287241402.69999999</v>
      </c>
      <c r="N7" s="142"/>
      <c r="O7" s="66">
        <v>246547105.80000001</v>
      </c>
      <c r="P7" s="127">
        <f>+H7-O7</f>
        <v>34575344.199999988</v>
      </c>
    </row>
    <row r="8" spans="1:16" ht="13.8">
      <c r="A8" s="142" t="s">
        <v>249</v>
      </c>
      <c r="B8" s="142"/>
      <c r="C8" s="142"/>
      <c r="D8" s="66">
        <f>+D135</f>
        <v>71397140</v>
      </c>
      <c r="E8" s="66">
        <f t="shared" ref="E8:L8" si="2">+E135</f>
        <v>68473320</v>
      </c>
      <c r="F8" s="66">
        <f t="shared" si="2"/>
        <v>67320950</v>
      </c>
      <c r="G8" s="66">
        <f t="shared" si="2"/>
        <v>68282850</v>
      </c>
      <c r="H8" s="66">
        <f t="shared" si="2"/>
        <v>71494050</v>
      </c>
      <c r="I8" s="66">
        <f t="shared" si="2"/>
        <v>73094030</v>
      </c>
      <c r="J8" s="66">
        <f t="shared" si="2"/>
        <v>74694010</v>
      </c>
      <c r="K8" s="66">
        <f t="shared" si="2"/>
        <v>76667460.049999997</v>
      </c>
      <c r="L8" s="66">
        <f t="shared" si="2"/>
        <v>78267440.049999997</v>
      </c>
      <c r="M8" s="66">
        <f t="shared" ref="M8" si="3">+M135</f>
        <v>79867420.049999997</v>
      </c>
      <c r="N8" s="142"/>
      <c r="O8" s="66">
        <v>69332850</v>
      </c>
      <c r="P8" s="127">
        <f t="shared" ref="P8:P10" si="4">+H8-O8</f>
        <v>2161200</v>
      </c>
    </row>
    <row r="9" spans="1:16" ht="13.8">
      <c r="A9" s="142" t="s">
        <v>57</v>
      </c>
      <c r="B9" s="142"/>
      <c r="C9" s="142"/>
      <c r="D9" s="66">
        <f>+D145</f>
        <v>16429510</v>
      </c>
      <c r="E9" s="66">
        <f t="shared" ref="E9:L9" si="5">+E145</f>
        <v>19347440</v>
      </c>
      <c r="F9" s="66">
        <f t="shared" si="5"/>
        <v>21748740</v>
      </c>
      <c r="G9" s="66">
        <f t="shared" si="5"/>
        <v>26641920</v>
      </c>
      <c r="H9" s="66">
        <f t="shared" si="5"/>
        <v>28007650</v>
      </c>
      <c r="I9" s="66">
        <f t="shared" si="5"/>
        <v>29373380</v>
      </c>
      <c r="J9" s="66">
        <f t="shared" si="5"/>
        <v>30739110</v>
      </c>
      <c r="K9" s="66">
        <f t="shared" si="5"/>
        <v>32104840</v>
      </c>
      <c r="L9" s="66">
        <f t="shared" si="5"/>
        <v>33470570</v>
      </c>
      <c r="M9" s="66">
        <f t="shared" ref="M9" si="6">+M145</f>
        <v>34836300</v>
      </c>
      <c r="N9" s="142"/>
      <c r="O9" s="66">
        <v>27141920</v>
      </c>
      <c r="P9" s="127">
        <f t="shared" si="4"/>
        <v>865730</v>
      </c>
    </row>
    <row r="10" spans="1:16" ht="13.8">
      <c r="A10" s="142" t="s">
        <v>928</v>
      </c>
      <c r="B10" s="142"/>
      <c r="C10" s="142"/>
      <c r="D10" s="67">
        <f t="shared" ref="D10:L10" si="7">SUM(D7:D9)</f>
        <v>321787730</v>
      </c>
      <c r="E10" s="67">
        <f t="shared" si="7"/>
        <v>329613970</v>
      </c>
      <c r="F10" s="67">
        <f t="shared" si="7"/>
        <v>327799410</v>
      </c>
      <c r="G10" s="67">
        <f t="shared" si="7"/>
        <v>333999630</v>
      </c>
      <c r="H10" s="67">
        <f t="shared" si="7"/>
        <v>380624150</v>
      </c>
      <c r="I10" s="67">
        <f t="shared" si="7"/>
        <v>384248770</v>
      </c>
      <c r="J10" s="67">
        <f t="shared" si="7"/>
        <v>387873390</v>
      </c>
      <c r="K10" s="67">
        <f t="shared" si="7"/>
        <v>394695882.75</v>
      </c>
      <c r="L10" s="67">
        <f t="shared" si="7"/>
        <v>398320502.75</v>
      </c>
      <c r="M10" s="67">
        <f t="shared" ref="M10" si="8">SUM(M7:M9)</f>
        <v>401945122.75</v>
      </c>
      <c r="N10" s="142"/>
      <c r="O10" s="67">
        <v>343021875.80000001</v>
      </c>
      <c r="P10" s="127">
        <f t="shared" si="4"/>
        <v>37602274.199999988</v>
      </c>
    </row>
    <row r="11" spans="1:16" ht="13.8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</row>
    <row r="12" spans="1:16" ht="13.8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</row>
    <row r="13" spans="1:16" ht="13.8">
      <c r="A13" s="686" t="s">
        <v>222</v>
      </c>
      <c r="B13" s="688"/>
      <c r="C13" s="68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</row>
    <row r="14" spans="1:16" ht="13.8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</row>
    <row r="15" spans="1:16" ht="13.8">
      <c r="A15" s="142" t="s">
        <v>44</v>
      </c>
      <c r="B15" s="142"/>
      <c r="C15" s="142"/>
      <c r="D15" s="69"/>
      <c r="E15" s="69">
        <f t="shared" ref="E15:M17" si="9">1-(D7/E7)</f>
        <v>3.2391852525552767E-2</v>
      </c>
      <c r="F15" s="69">
        <f t="shared" si="9"/>
        <v>-1.2832461747954937E-2</v>
      </c>
      <c r="G15" s="69">
        <f t="shared" si="9"/>
        <v>1.4436482363724412E-3</v>
      </c>
      <c r="H15" s="69">
        <f t="shared" si="9"/>
        <v>0.1495703740487464</v>
      </c>
      <c r="I15" s="69">
        <f t="shared" si="9"/>
        <v>2.3383732692610071E-3</v>
      </c>
      <c r="J15" s="69">
        <f t="shared" si="9"/>
        <v>2.3329180360860402E-3</v>
      </c>
      <c r="K15" s="69">
        <f t="shared" si="9"/>
        <v>1.2182670163498832E-2</v>
      </c>
      <c r="L15" s="69">
        <f t="shared" si="9"/>
        <v>2.2991983696986074E-3</v>
      </c>
      <c r="M15" s="69">
        <f t="shared" si="9"/>
        <v>2.2939241829569301E-3</v>
      </c>
      <c r="N15" s="142"/>
      <c r="O15" s="69">
        <v>3.0307578650148659E-2</v>
      </c>
      <c r="P15" s="127">
        <f t="shared" ref="P15:P17" si="10">+H15-O15</f>
        <v>0.11926279539859774</v>
      </c>
    </row>
    <row r="16" spans="1:16" ht="13.8">
      <c r="A16" s="142" t="s">
        <v>249</v>
      </c>
      <c r="B16" s="142"/>
      <c r="C16" s="142"/>
      <c r="D16" s="69"/>
      <c r="E16" s="69">
        <f t="shared" si="9"/>
        <v>-4.2700134884652963E-2</v>
      </c>
      <c r="F16" s="69">
        <f t="shared" si="9"/>
        <v>-1.7117554045211758E-2</v>
      </c>
      <c r="G16" s="69">
        <f t="shared" si="9"/>
        <v>1.4086992561089695E-2</v>
      </c>
      <c r="H16" s="69">
        <f t="shared" si="9"/>
        <v>4.4915625845787122E-2</v>
      </c>
      <c r="I16" s="69">
        <f t="shared" si="9"/>
        <v>2.1889338978846817E-2</v>
      </c>
      <c r="J16" s="69">
        <f t="shared" si="9"/>
        <v>2.1420459284486104E-2</v>
      </c>
      <c r="K16" s="69">
        <f t="shared" si="9"/>
        <v>2.5740386452257291E-2</v>
      </c>
      <c r="L16" s="69">
        <f t="shared" si="9"/>
        <v>2.0442472616682972E-2</v>
      </c>
      <c r="M16" s="69">
        <f t="shared" si="9"/>
        <v>2.0032949593192684E-2</v>
      </c>
      <c r="N16" s="142"/>
      <c r="O16" s="69">
        <v>1.514433634272927E-2</v>
      </c>
      <c r="P16" s="127">
        <f t="shared" si="10"/>
        <v>2.9771289503057852E-2</v>
      </c>
    </row>
    <row r="17" spans="1:16" ht="13.8">
      <c r="A17" s="142" t="s">
        <v>57</v>
      </c>
      <c r="B17" s="142"/>
      <c r="C17" s="142"/>
      <c r="D17" s="69"/>
      <c r="E17" s="69">
        <f t="shared" si="9"/>
        <v>0.1508173691196355</v>
      </c>
      <c r="F17" s="69">
        <f t="shared" si="9"/>
        <v>0.11041099392424569</v>
      </c>
      <c r="G17" s="69">
        <f t="shared" si="9"/>
        <v>0.18366469083309311</v>
      </c>
      <c r="H17" s="69">
        <f t="shared" si="9"/>
        <v>4.8762748749002549E-2</v>
      </c>
      <c r="I17" s="69">
        <f t="shared" si="9"/>
        <v>4.6495500347593643E-2</v>
      </c>
      <c r="J17" s="69">
        <f t="shared" si="9"/>
        <v>4.4429718362047566E-2</v>
      </c>
      <c r="K17" s="69">
        <f t="shared" si="9"/>
        <v>4.2539691834626803E-2</v>
      </c>
      <c r="L17" s="69">
        <f t="shared" si="9"/>
        <v>4.0803906237629084E-2</v>
      </c>
      <c r="M17" s="69">
        <f t="shared" si="9"/>
        <v>3.9204220884537122E-2</v>
      </c>
      <c r="N17" s="142"/>
      <c r="O17" s="69">
        <v>1.8421688664619129E-2</v>
      </c>
      <c r="P17" s="127">
        <f t="shared" si="10"/>
        <v>3.034106008438342E-2</v>
      </c>
    </row>
    <row r="18" spans="1:16" ht="13.8">
      <c r="A18" s="142"/>
      <c r="B18" s="142"/>
      <c r="C18" s="142"/>
      <c r="D18" s="69"/>
      <c r="E18" s="69" t="s">
        <v>250</v>
      </c>
      <c r="F18" s="69" t="s">
        <v>250</v>
      </c>
      <c r="G18" s="69" t="s">
        <v>250</v>
      </c>
      <c r="H18" s="69" t="s">
        <v>250</v>
      </c>
      <c r="I18" s="69" t="s">
        <v>250</v>
      </c>
      <c r="J18" s="69" t="s">
        <v>250</v>
      </c>
      <c r="K18" s="69" t="s">
        <v>250</v>
      </c>
      <c r="L18" s="69" t="s">
        <v>250</v>
      </c>
      <c r="M18" s="69" t="s">
        <v>250</v>
      </c>
      <c r="N18" s="142"/>
      <c r="O18" s="69" t="s">
        <v>250</v>
      </c>
    </row>
    <row r="19" spans="1:16" ht="13.8">
      <c r="A19" s="68" t="s">
        <v>223</v>
      </c>
      <c r="B19" s="68"/>
      <c r="C19" s="68"/>
      <c r="D19" s="70"/>
      <c r="E19" s="70">
        <f t="shared" ref="E19:M19" si="11">1-(D10/E10)</f>
        <v>2.374365382632293E-2</v>
      </c>
      <c r="F19" s="70">
        <f t="shared" si="11"/>
        <v>-5.5355804331680414E-3</v>
      </c>
      <c r="G19" s="70">
        <f t="shared" si="11"/>
        <v>1.8563553498547325E-2</v>
      </c>
      <c r="H19" s="70">
        <f t="shared" si="11"/>
        <v>0.1224949073777899</v>
      </c>
      <c r="I19" s="70">
        <f t="shared" si="11"/>
        <v>9.4330035200893558E-3</v>
      </c>
      <c r="J19" s="70">
        <f t="shared" si="11"/>
        <v>9.3448534842773823E-3</v>
      </c>
      <c r="K19" s="70">
        <f t="shared" si="11"/>
        <v>1.7285441901407794E-2</v>
      </c>
      <c r="L19" s="70">
        <f t="shared" si="11"/>
        <v>9.0997575444288215E-3</v>
      </c>
      <c r="M19" s="70">
        <f t="shared" si="11"/>
        <v>9.0176986728968123E-3</v>
      </c>
      <c r="N19" s="142"/>
      <c r="O19" s="70">
        <v>2.6302246114648598E-2</v>
      </c>
      <c r="P19" s="127">
        <f>+H19-O19</f>
        <v>9.6192661263141299E-2</v>
      </c>
    </row>
    <row r="20" spans="1:16" ht="13.8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</row>
    <row r="21" spans="1:16" ht="13.8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</row>
    <row r="22" spans="1:16" ht="13.8">
      <c r="A22" s="686" t="s">
        <v>218</v>
      </c>
      <c r="B22" s="688"/>
      <c r="C22" s="68"/>
      <c r="D22" s="56" t="s">
        <v>300</v>
      </c>
      <c r="E22" s="56" t="s">
        <v>300</v>
      </c>
      <c r="F22" s="56" t="s">
        <v>300</v>
      </c>
      <c r="G22" s="56" t="s">
        <v>300</v>
      </c>
      <c r="H22" s="56" t="s">
        <v>300</v>
      </c>
      <c r="I22" s="64" t="s">
        <v>189</v>
      </c>
      <c r="J22" s="64" t="s">
        <v>189</v>
      </c>
      <c r="K22" s="64" t="s">
        <v>189</v>
      </c>
      <c r="L22" s="64" t="s">
        <v>189</v>
      </c>
      <c r="M22" s="64" t="s">
        <v>189</v>
      </c>
      <c r="N22" s="142"/>
      <c r="O22" s="64" t="s">
        <v>189</v>
      </c>
    </row>
    <row r="23" spans="1:16" ht="13.8">
      <c r="A23" s="142"/>
      <c r="B23" s="71" t="s">
        <v>312</v>
      </c>
      <c r="C23" s="142"/>
      <c r="D23" s="683" t="s">
        <v>441</v>
      </c>
      <c r="E23" s="683" t="str">
        <f t="shared" ref="E23:L23" si="12">"FY "&amp;RIGHT(E6,2)</f>
        <v>FY 18</v>
      </c>
      <c r="F23" s="683" t="str">
        <f t="shared" si="12"/>
        <v>FY 19</v>
      </c>
      <c r="G23" s="683" t="str">
        <f t="shared" si="12"/>
        <v>FY 20</v>
      </c>
      <c r="H23" s="683" t="str">
        <f t="shared" si="12"/>
        <v>FY 21</v>
      </c>
      <c r="I23" s="683" t="str">
        <f t="shared" si="12"/>
        <v>FY 22</v>
      </c>
      <c r="J23" s="683" t="str">
        <f t="shared" si="12"/>
        <v>FY 23</v>
      </c>
      <c r="K23" s="683" t="str">
        <f t="shared" si="12"/>
        <v>FY 24</v>
      </c>
      <c r="L23" s="708" t="str">
        <f t="shared" si="12"/>
        <v>FY 25</v>
      </c>
      <c r="M23" s="1553" t="str">
        <f t="shared" ref="M23" si="13">"FY "&amp;RIGHT(M6,2)</f>
        <v>FY 26</v>
      </c>
      <c r="N23" s="142"/>
      <c r="O23" s="1484" t="s">
        <v>1061</v>
      </c>
    </row>
    <row r="24" spans="1:16" ht="13.8">
      <c r="A24" s="142" t="s">
        <v>313</v>
      </c>
      <c r="B24" s="142">
        <v>1.01</v>
      </c>
      <c r="C24" s="142"/>
      <c r="D24" s="72">
        <f t="shared" ref="D24:K24" si="14">D180</f>
        <v>9023653</v>
      </c>
      <c r="E24" s="72">
        <f t="shared" si="14"/>
        <v>9230405</v>
      </c>
      <c r="F24" s="72">
        <f t="shared" si="14"/>
        <v>9157706</v>
      </c>
      <c r="G24" s="72">
        <f t="shared" si="14"/>
        <v>9425875</v>
      </c>
      <c r="H24" s="72">
        <f t="shared" si="14"/>
        <v>9865380.5800000001</v>
      </c>
      <c r="I24" s="72">
        <f t="shared" si="14"/>
        <v>9823616.9226287454</v>
      </c>
      <c r="J24" s="72">
        <f t="shared" si="14"/>
        <v>9656410.7483583689</v>
      </c>
      <c r="K24" s="72">
        <f t="shared" si="14"/>
        <v>9183823.128507996</v>
      </c>
      <c r="L24" s="72">
        <f t="shared" ref="L24:M24" si="15">L180</f>
        <v>9288246.9626862071</v>
      </c>
      <c r="M24" s="72">
        <f t="shared" si="15"/>
        <v>9387419.0371567868</v>
      </c>
      <c r="N24" s="142"/>
      <c r="O24" s="72">
        <v>9599086.818934856</v>
      </c>
      <c r="P24" s="127">
        <f t="shared" ref="P24:P26" si="16">+H24-O24</f>
        <v>266293.76106514409</v>
      </c>
    </row>
    <row r="25" spans="1:16" ht="13.8">
      <c r="A25" s="142" t="s">
        <v>314</v>
      </c>
      <c r="B25" s="142">
        <v>1.02</v>
      </c>
      <c r="C25" s="142"/>
      <c r="D25" s="72">
        <f t="shared" ref="D25:K25" si="17">D193</f>
        <v>1068092</v>
      </c>
      <c r="E25" s="72">
        <f t="shared" si="17"/>
        <v>1135129</v>
      </c>
      <c r="F25" s="72">
        <f t="shared" si="17"/>
        <v>1240772</v>
      </c>
      <c r="G25" s="72">
        <f t="shared" si="17"/>
        <v>1461169</v>
      </c>
      <c r="H25" s="72">
        <f t="shared" si="17"/>
        <v>1654190</v>
      </c>
      <c r="I25" s="72">
        <f t="shared" si="17"/>
        <v>1732218</v>
      </c>
      <c r="J25" s="72">
        <f t="shared" si="17"/>
        <v>1709024</v>
      </c>
      <c r="K25" s="72">
        <f t="shared" si="17"/>
        <v>1681257</v>
      </c>
      <c r="L25" s="72">
        <f t="shared" ref="L25:M25" si="18">L193</f>
        <v>1754325</v>
      </c>
      <c r="M25" s="72">
        <f t="shared" si="18"/>
        <v>1827391</v>
      </c>
      <c r="N25" s="142"/>
      <c r="O25" s="72">
        <v>1627724</v>
      </c>
      <c r="P25" s="127">
        <f t="shared" si="16"/>
        <v>26466</v>
      </c>
    </row>
    <row r="26" spans="1:16" ht="13.8">
      <c r="A26" s="142" t="s">
        <v>315</v>
      </c>
      <c r="B26" s="142">
        <v>1.05</v>
      </c>
      <c r="C26" s="142"/>
      <c r="D26" s="72">
        <f>+D186</f>
        <v>1356650</v>
      </c>
      <c r="E26" s="72">
        <f>+E186</f>
        <v>1354321</v>
      </c>
      <c r="F26" s="72">
        <f>+F186</f>
        <v>1339529</v>
      </c>
      <c r="G26" s="72">
        <f t="shared" ref="G26:L26" si="19">+G186</f>
        <v>1333740</v>
      </c>
      <c r="H26" s="72">
        <f t="shared" si="19"/>
        <v>1307855.54</v>
      </c>
      <c r="I26" s="72">
        <f t="shared" si="19"/>
        <v>1275599.2344969437</v>
      </c>
      <c r="J26" s="72">
        <f t="shared" si="19"/>
        <v>1187975.2258974595</v>
      </c>
      <c r="K26" s="72">
        <f t="shared" si="19"/>
        <v>1113660.2110344218</v>
      </c>
      <c r="L26" s="72">
        <f t="shared" si="19"/>
        <v>1117921.2896890265</v>
      </c>
      <c r="M26" s="72">
        <f t="shared" ref="M26" si="20">+M186</f>
        <v>1121127.9378086934</v>
      </c>
      <c r="N26" s="142"/>
      <c r="O26" s="72">
        <v>1276625.0025988757</v>
      </c>
      <c r="P26" s="127">
        <f t="shared" si="16"/>
        <v>31230.537401124369</v>
      </c>
    </row>
    <row r="27" spans="1:16" ht="13.8">
      <c r="A27" s="63"/>
      <c r="B27" s="63"/>
      <c r="C27" s="6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142"/>
      <c r="O27" s="73"/>
    </row>
    <row r="28" spans="1:16" ht="22.8">
      <c r="A28" s="1595" t="s">
        <v>101</v>
      </c>
      <c r="B28" s="1596"/>
      <c r="C28" s="1596"/>
      <c r="D28" s="684"/>
      <c r="E28" s="684"/>
      <c r="F28" s="684"/>
      <c r="G28" s="684"/>
      <c r="H28" s="684"/>
      <c r="I28" s="684"/>
      <c r="J28" s="684"/>
      <c r="K28" s="684"/>
      <c r="L28" s="684"/>
      <c r="M28" s="684"/>
      <c r="N28" s="74"/>
      <c r="O28" s="684"/>
    </row>
    <row r="29" spans="1:16" ht="13.8">
      <c r="A29" s="75"/>
      <c r="B29" s="76" t="s">
        <v>102</v>
      </c>
      <c r="C29" s="76" t="s">
        <v>103</v>
      </c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</row>
    <row r="30" spans="1:16" ht="21">
      <c r="A30" s="689" t="s">
        <v>316</v>
      </c>
      <c r="B30" s="78" t="s">
        <v>78</v>
      </c>
      <c r="C30" s="78" t="s">
        <v>78</v>
      </c>
      <c r="D30" s="139" t="s">
        <v>444</v>
      </c>
      <c r="E30" s="139" t="s">
        <v>481</v>
      </c>
      <c r="F30" s="139" t="s">
        <v>683</v>
      </c>
      <c r="G30" s="139" t="s">
        <v>748</v>
      </c>
      <c r="H30" s="139" t="str">
        <f t="shared" ref="H30:M30" si="21">+H6</f>
        <v>COLLECT 2021</v>
      </c>
      <c r="I30" s="79" t="str">
        <f t="shared" si="21"/>
        <v>COLLECT 2022</v>
      </c>
      <c r="J30" s="79" t="str">
        <f t="shared" si="21"/>
        <v>COLLECT 2023</v>
      </c>
      <c r="K30" s="79" t="str">
        <f t="shared" si="21"/>
        <v>COLLECT 2024</v>
      </c>
      <c r="L30" s="79" t="str">
        <f t="shared" si="21"/>
        <v>COLLECT 2025</v>
      </c>
      <c r="M30" s="79" t="str">
        <f t="shared" si="21"/>
        <v>COLLECT 2026</v>
      </c>
      <c r="N30" s="142"/>
      <c r="O30" s="79" t="s">
        <v>811</v>
      </c>
    </row>
    <row r="31" spans="1:16" ht="13.8">
      <c r="A31" s="80" t="s">
        <v>104</v>
      </c>
      <c r="B31" s="81" t="s">
        <v>105</v>
      </c>
      <c r="C31" s="81" t="s">
        <v>105</v>
      </c>
      <c r="D31" s="82">
        <v>4.4000000000000004</v>
      </c>
      <c r="E31" s="82">
        <f t="shared" ref="E31:M36" si="22">D31</f>
        <v>4.4000000000000004</v>
      </c>
      <c r="F31" s="82">
        <f>E31</f>
        <v>4.4000000000000004</v>
      </c>
      <c r="G31" s="82">
        <f t="shared" si="22"/>
        <v>4.4000000000000004</v>
      </c>
      <c r="H31" s="82">
        <f t="shared" si="22"/>
        <v>4.4000000000000004</v>
      </c>
      <c r="I31" s="82">
        <f t="shared" si="22"/>
        <v>4.4000000000000004</v>
      </c>
      <c r="J31" s="82">
        <f t="shared" si="22"/>
        <v>4.4000000000000004</v>
      </c>
      <c r="K31" s="82">
        <f t="shared" si="22"/>
        <v>4.4000000000000004</v>
      </c>
      <c r="L31" s="82">
        <f t="shared" si="22"/>
        <v>4.4000000000000004</v>
      </c>
      <c r="M31" s="82">
        <f t="shared" si="22"/>
        <v>4.4000000000000004</v>
      </c>
      <c r="N31" s="142"/>
      <c r="O31" s="82">
        <v>4.4000000000000004</v>
      </c>
      <c r="P31" s="127">
        <f t="shared" ref="P31:P38" si="23">+H31-O31</f>
        <v>0</v>
      </c>
    </row>
    <row r="32" spans="1:16" ht="13.8">
      <c r="A32" s="80" t="s">
        <v>106</v>
      </c>
      <c r="B32" s="81" t="s">
        <v>105</v>
      </c>
      <c r="C32" s="81" t="s">
        <v>105</v>
      </c>
      <c r="D32" s="82">
        <v>24.8</v>
      </c>
      <c r="E32" s="82">
        <v>24.8</v>
      </c>
      <c r="F32" s="82">
        <v>24.8</v>
      </c>
      <c r="G32" s="82">
        <v>24.8</v>
      </c>
      <c r="H32" s="82">
        <f t="shared" si="22"/>
        <v>24.8</v>
      </c>
      <c r="I32" s="82">
        <f t="shared" si="22"/>
        <v>24.8</v>
      </c>
      <c r="J32" s="82">
        <f t="shared" si="22"/>
        <v>24.8</v>
      </c>
      <c r="K32" s="82">
        <f t="shared" si="22"/>
        <v>24.8</v>
      </c>
      <c r="L32" s="82">
        <f t="shared" si="22"/>
        <v>24.8</v>
      </c>
      <c r="M32" s="82">
        <f t="shared" si="22"/>
        <v>24.8</v>
      </c>
      <c r="N32" s="142"/>
      <c r="O32" s="82">
        <v>24.8</v>
      </c>
      <c r="P32" s="127">
        <f t="shared" si="23"/>
        <v>0</v>
      </c>
    </row>
    <row r="33" spans="1:16" ht="13.8">
      <c r="A33" s="80" t="s">
        <v>934</v>
      </c>
      <c r="B33" s="81" t="s">
        <v>105</v>
      </c>
      <c r="C33" s="81" t="s">
        <v>105</v>
      </c>
      <c r="D33" s="82">
        <v>1</v>
      </c>
      <c r="E33" s="82">
        <v>1</v>
      </c>
      <c r="F33" s="82">
        <v>1</v>
      </c>
      <c r="G33" s="82">
        <v>1</v>
      </c>
      <c r="H33" s="82">
        <f t="shared" ref="H33:H34" si="24">G33</f>
        <v>1</v>
      </c>
      <c r="I33" s="82">
        <f t="shared" ref="I33:I34" si="25">H33</f>
        <v>1</v>
      </c>
      <c r="J33" s="82">
        <f t="shared" ref="J33:J34" si="26">I33</f>
        <v>1</v>
      </c>
      <c r="K33" s="82">
        <f t="shared" ref="K33:K34" si="27">J33</f>
        <v>1</v>
      </c>
      <c r="L33" s="82">
        <f t="shared" ref="L33:M34" si="28">K33</f>
        <v>1</v>
      </c>
      <c r="M33" s="82">
        <f t="shared" si="28"/>
        <v>1</v>
      </c>
      <c r="N33" s="142"/>
      <c r="O33" s="82">
        <v>1</v>
      </c>
      <c r="P33" s="127">
        <f t="shared" si="23"/>
        <v>0</v>
      </c>
    </row>
    <row r="34" spans="1:16" ht="13.8">
      <c r="A34" s="80" t="s">
        <v>935</v>
      </c>
      <c r="B34" s="81" t="s">
        <v>105</v>
      </c>
      <c r="C34" s="81" t="s">
        <v>105</v>
      </c>
      <c r="D34" s="82">
        <v>3.9</v>
      </c>
      <c r="E34" s="82">
        <v>3.9</v>
      </c>
      <c r="F34" s="82">
        <v>3.9</v>
      </c>
      <c r="G34" s="82">
        <v>3.9</v>
      </c>
      <c r="H34" s="82">
        <f t="shared" si="24"/>
        <v>3.9</v>
      </c>
      <c r="I34" s="82">
        <f t="shared" si="25"/>
        <v>3.9</v>
      </c>
      <c r="J34" s="82">
        <f t="shared" si="26"/>
        <v>3.9</v>
      </c>
      <c r="K34" s="82">
        <f t="shared" si="27"/>
        <v>3.9</v>
      </c>
      <c r="L34" s="82">
        <f t="shared" si="28"/>
        <v>3.9</v>
      </c>
      <c r="M34" s="82">
        <f t="shared" si="28"/>
        <v>3.9</v>
      </c>
      <c r="N34" s="142"/>
      <c r="O34" s="82">
        <v>3.9</v>
      </c>
      <c r="P34" s="127">
        <f t="shared" si="23"/>
        <v>0</v>
      </c>
    </row>
    <row r="35" spans="1:16" ht="13.8">
      <c r="A35" s="80" t="s">
        <v>936</v>
      </c>
      <c r="B35" s="81" t="s">
        <v>105</v>
      </c>
      <c r="C35" s="81" t="s">
        <v>105</v>
      </c>
      <c r="D35" s="82">
        <v>9</v>
      </c>
      <c r="E35" s="82">
        <v>9</v>
      </c>
      <c r="F35" s="82">
        <v>9</v>
      </c>
      <c r="G35" s="82">
        <v>9</v>
      </c>
      <c r="H35" s="82">
        <f t="shared" ref="H35" si="29">G35</f>
        <v>9</v>
      </c>
      <c r="I35" s="82">
        <f t="shared" ref="I35" si="30">H35</f>
        <v>9</v>
      </c>
      <c r="J35" s="82">
        <f t="shared" ref="J35" si="31">I35</f>
        <v>9</v>
      </c>
      <c r="K35" s="82">
        <f t="shared" ref="K35" si="32">J35</f>
        <v>9</v>
      </c>
      <c r="L35" s="82">
        <f t="shared" ref="L35:M35" si="33">K35</f>
        <v>9</v>
      </c>
      <c r="M35" s="82">
        <f t="shared" si="33"/>
        <v>9</v>
      </c>
      <c r="N35" s="142"/>
      <c r="O35" s="82">
        <v>9</v>
      </c>
      <c r="P35" s="127">
        <f t="shared" si="23"/>
        <v>0</v>
      </c>
    </row>
    <row r="36" spans="1:16" ht="13.8">
      <c r="A36" s="80" t="s">
        <v>937</v>
      </c>
      <c r="B36" s="81" t="s">
        <v>105</v>
      </c>
      <c r="C36" s="81">
        <v>2022</v>
      </c>
      <c r="D36" s="82">
        <v>6.9</v>
      </c>
      <c r="E36" s="82">
        <v>6.9</v>
      </c>
      <c r="F36" s="82">
        <v>6.9</v>
      </c>
      <c r="G36" s="82">
        <v>6.9</v>
      </c>
      <c r="H36" s="82">
        <f t="shared" si="22"/>
        <v>6.9</v>
      </c>
      <c r="I36" s="82">
        <f t="shared" si="22"/>
        <v>6.9</v>
      </c>
      <c r="J36" s="961"/>
      <c r="K36" s="961"/>
      <c r="L36" s="961"/>
      <c r="M36" s="961"/>
      <c r="N36" s="142"/>
      <c r="O36" s="82">
        <v>6.9</v>
      </c>
      <c r="P36" s="127">
        <f t="shared" si="23"/>
        <v>0</v>
      </c>
    </row>
    <row r="37" spans="1:16" ht="13.8">
      <c r="A37" s="80" t="s">
        <v>938</v>
      </c>
      <c r="B37" s="691" t="s">
        <v>105</v>
      </c>
      <c r="C37" s="691" t="s">
        <v>105</v>
      </c>
      <c r="D37" s="692">
        <v>10.4</v>
      </c>
      <c r="E37" s="692">
        <v>10.4</v>
      </c>
      <c r="F37" s="692">
        <v>10.4</v>
      </c>
      <c r="G37" s="692">
        <v>10.4</v>
      </c>
      <c r="H37" s="692">
        <f t="shared" ref="H37" si="34">G37</f>
        <v>10.4</v>
      </c>
      <c r="I37" s="692">
        <f t="shared" ref="I37" si="35">H37</f>
        <v>10.4</v>
      </c>
      <c r="J37" s="692">
        <f t="shared" ref="J37" si="36">I37</f>
        <v>10.4</v>
      </c>
      <c r="K37" s="692">
        <f t="shared" ref="K37" si="37">J37</f>
        <v>10.4</v>
      </c>
      <c r="L37" s="692">
        <f t="shared" ref="L37:M37" si="38">K37</f>
        <v>10.4</v>
      </c>
      <c r="M37" s="692">
        <f t="shared" si="38"/>
        <v>10.4</v>
      </c>
      <c r="N37" s="142"/>
      <c r="O37" s="692">
        <v>10.4</v>
      </c>
      <c r="P37" s="127">
        <f t="shared" si="23"/>
        <v>0</v>
      </c>
    </row>
    <row r="38" spans="1:16" ht="13.8">
      <c r="A38" s="80" t="s">
        <v>911</v>
      </c>
      <c r="B38" s="81" t="s">
        <v>105</v>
      </c>
      <c r="C38" s="81" t="s">
        <v>105</v>
      </c>
      <c r="D38" s="82">
        <f t="shared" ref="D38:K38" si="39">SUM(D31:D37)</f>
        <v>60.4</v>
      </c>
      <c r="E38" s="82">
        <f t="shared" si="39"/>
        <v>60.4</v>
      </c>
      <c r="F38" s="82">
        <f t="shared" si="39"/>
        <v>60.4</v>
      </c>
      <c r="G38" s="82">
        <f t="shared" si="39"/>
        <v>60.4</v>
      </c>
      <c r="H38" s="82">
        <f t="shared" si="39"/>
        <v>60.4</v>
      </c>
      <c r="I38" s="82">
        <f t="shared" si="39"/>
        <v>60.4</v>
      </c>
      <c r="J38" s="82">
        <f t="shared" si="39"/>
        <v>53.5</v>
      </c>
      <c r="K38" s="82">
        <f t="shared" si="39"/>
        <v>53.5</v>
      </c>
      <c r="L38" s="82">
        <f t="shared" ref="L38:M38" si="40">SUM(L31:L37)</f>
        <v>53.5</v>
      </c>
      <c r="M38" s="82">
        <f t="shared" si="40"/>
        <v>53.5</v>
      </c>
      <c r="N38" s="142"/>
      <c r="O38" s="82">
        <v>60.4</v>
      </c>
      <c r="P38" s="127">
        <f t="shared" si="23"/>
        <v>0</v>
      </c>
    </row>
    <row r="39" spans="1:16" ht="13.8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142"/>
      <c r="O39" s="82"/>
    </row>
    <row r="40" spans="1:16" ht="13.8">
      <c r="A40" s="693" t="s">
        <v>912</v>
      </c>
      <c r="B40" s="81"/>
      <c r="C40" s="81">
        <v>0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  <c r="M40" s="82">
        <v>0</v>
      </c>
      <c r="N40" s="142"/>
      <c r="O40" s="82">
        <v>0</v>
      </c>
    </row>
    <row r="41" spans="1:16" ht="13.8">
      <c r="A41" s="693" t="s">
        <v>912</v>
      </c>
      <c r="B41" s="691"/>
      <c r="C41" s="691"/>
      <c r="D41" s="692">
        <v>0</v>
      </c>
      <c r="E41" s="692">
        <v>0</v>
      </c>
      <c r="F41" s="692">
        <v>0</v>
      </c>
      <c r="G41" s="692">
        <v>0</v>
      </c>
      <c r="H41" s="692">
        <v>0</v>
      </c>
      <c r="I41" s="692">
        <v>0</v>
      </c>
      <c r="J41" s="692">
        <v>0</v>
      </c>
      <c r="K41" s="692">
        <v>0</v>
      </c>
      <c r="L41" s="692">
        <v>0</v>
      </c>
      <c r="M41" s="692">
        <v>0</v>
      </c>
      <c r="N41" s="142"/>
      <c r="O41" s="692">
        <v>0</v>
      </c>
    </row>
    <row r="42" spans="1:16" ht="13.8">
      <c r="A42" s="693" t="s">
        <v>913</v>
      </c>
      <c r="B42" s="81"/>
      <c r="C42" s="81"/>
      <c r="D42" s="82">
        <f t="shared" ref="D42:K42" si="41">+D40+D41</f>
        <v>0</v>
      </c>
      <c r="E42" s="82">
        <f t="shared" si="41"/>
        <v>0</v>
      </c>
      <c r="F42" s="82">
        <f t="shared" si="41"/>
        <v>0</v>
      </c>
      <c r="G42" s="82">
        <f t="shared" si="41"/>
        <v>0</v>
      </c>
      <c r="H42" s="82">
        <f t="shared" si="41"/>
        <v>0</v>
      </c>
      <c r="I42" s="82">
        <f t="shared" si="41"/>
        <v>0</v>
      </c>
      <c r="J42" s="82">
        <f t="shared" si="41"/>
        <v>0</v>
      </c>
      <c r="K42" s="82">
        <f t="shared" si="41"/>
        <v>0</v>
      </c>
      <c r="L42" s="82">
        <f t="shared" ref="L42:M42" si="42">+L40+L41</f>
        <v>0</v>
      </c>
      <c r="M42" s="82">
        <f t="shared" si="42"/>
        <v>0</v>
      </c>
      <c r="N42" s="142"/>
      <c r="O42" s="82">
        <v>0</v>
      </c>
    </row>
    <row r="43" spans="1:16" ht="13.8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142"/>
      <c r="O43" s="82"/>
    </row>
    <row r="44" spans="1:16" ht="13.8">
      <c r="A44" s="694" t="s">
        <v>927</v>
      </c>
      <c r="B44" s="81"/>
      <c r="C44" s="81"/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82">
        <v>0</v>
      </c>
      <c r="K44" s="82">
        <v>0</v>
      </c>
      <c r="L44" s="82">
        <v>0</v>
      </c>
      <c r="M44" s="82">
        <v>0</v>
      </c>
      <c r="N44" s="142"/>
      <c r="O44" s="82">
        <v>0</v>
      </c>
    </row>
    <row r="45" spans="1:16" ht="13.8">
      <c r="A45" s="695" t="s">
        <v>927</v>
      </c>
      <c r="B45" s="691"/>
      <c r="C45" s="691"/>
      <c r="D45" s="692">
        <v>0</v>
      </c>
      <c r="E45" s="692">
        <v>0</v>
      </c>
      <c r="F45" s="692">
        <v>0</v>
      </c>
      <c r="G45" s="692">
        <v>0</v>
      </c>
      <c r="H45" s="692">
        <v>0</v>
      </c>
      <c r="I45" s="692">
        <v>0</v>
      </c>
      <c r="J45" s="692">
        <v>0</v>
      </c>
      <c r="K45" s="692">
        <v>0</v>
      </c>
      <c r="L45" s="692">
        <v>0</v>
      </c>
      <c r="M45" s="692">
        <v>0</v>
      </c>
      <c r="N45" s="142"/>
      <c r="O45" s="692">
        <v>0</v>
      </c>
    </row>
    <row r="46" spans="1:16" ht="13.8">
      <c r="A46" s="694" t="s">
        <v>914</v>
      </c>
      <c r="B46" s="81"/>
      <c r="C46" s="81"/>
      <c r="D46" s="82">
        <f t="shared" ref="D46:K46" si="43">+D44+D45</f>
        <v>0</v>
      </c>
      <c r="E46" s="82">
        <f t="shared" si="43"/>
        <v>0</v>
      </c>
      <c r="F46" s="82">
        <f t="shared" si="43"/>
        <v>0</v>
      </c>
      <c r="G46" s="82">
        <f t="shared" si="43"/>
        <v>0</v>
      </c>
      <c r="H46" s="82">
        <f t="shared" si="43"/>
        <v>0</v>
      </c>
      <c r="I46" s="82">
        <f t="shared" si="43"/>
        <v>0</v>
      </c>
      <c r="J46" s="82">
        <f t="shared" si="43"/>
        <v>0</v>
      </c>
      <c r="K46" s="82">
        <f t="shared" si="43"/>
        <v>0</v>
      </c>
      <c r="L46" s="82">
        <f t="shared" ref="L46:M46" si="44">+L44+L45</f>
        <v>0</v>
      </c>
      <c r="M46" s="82">
        <f t="shared" si="44"/>
        <v>0</v>
      </c>
      <c r="N46" s="142"/>
      <c r="O46" s="82">
        <v>0</v>
      </c>
    </row>
    <row r="47" spans="1:16" ht="13.8">
      <c r="A47" s="80"/>
      <c r="B47" s="83"/>
      <c r="C47" s="83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142"/>
      <c r="O47" s="82"/>
    </row>
    <row r="48" spans="1:16" ht="13.8">
      <c r="A48" s="696" t="s">
        <v>926</v>
      </c>
      <c r="B48" s="83"/>
      <c r="C48" s="83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142"/>
      <c r="O48" s="82"/>
    </row>
    <row r="49" spans="1:16" ht="13.8">
      <c r="A49" s="697" t="s">
        <v>916</v>
      </c>
      <c r="B49" s="698"/>
      <c r="C49" s="698"/>
      <c r="D49" s="692"/>
      <c r="E49" s="692"/>
      <c r="F49" s="692"/>
      <c r="G49" s="692"/>
      <c r="H49" s="692"/>
      <c r="I49" s="692"/>
      <c r="J49" s="692"/>
      <c r="K49" s="692"/>
      <c r="L49" s="692"/>
      <c r="M49" s="692"/>
      <c r="N49" s="142"/>
      <c r="O49" s="692"/>
    </row>
    <row r="50" spans="1:16" ht="13.8">
      <c r="A50" s="696" t="s">
        <v>917</v>
      </c>
      <c r="B50" s="83"/>
      <c r="C50" s="83"/>
      <c r="D50" s="82">
        <f t="shared" ref="D50:K50" si="45">+D48+D49</f>
        <v>0</v>
      </c>
      <c r="E50" s="82">
        <f t="shared" si="45"/>
        <v>0</v>
      </c>
      <c r="F50" s="82">
        <f t="shared" si="45"/>
        <v>0</v>
      </c>
      <c r="G50" s="82">
        <f t="shared" si="45"/>
        <v>0</v>
      </c>
      <c r="H50" s="82">
        <f t="shared" si="45"/>
        <v>0</v>
      </c>
      <c r="I50" s="82">
        <f t="shared" si="45"/>
        <v>0</v>
      </c>
      <c r="J50" s="82">
        <f t="shared" si="45"/>
        <v>0</v>
      </c>
      <c r="K50" s="82">
        <f t="shared" si="45"/>
        <v>0</v>
      </c>
      <c r="L50" s="82">
        <f t="shared" ref="L50:M50" si="46">+L48+L49</f>
        <v>0</v>
      </c>
      <c r="M50" s="82">
        <f t="shared" si="46"/>
        <v>0</v>
      </c>
      <c r="N50" s="142"/>
      <c r="O50" s="82">
        <v>0</v>
      </c>
    </row>
    <row r="51" spans="1:16" ht="14.4" thickBot="1">
      <c r="A51" s="84" t="s">
        <v>280</v>
      </c>
      <c r="B51" s="47"/>
      <c r="C51" s="47"/>
      <c r="D51" s="85">
        <f>+D38+D42:E42+D46+D50</f>
        <v>60.4</v>
      </c>
      <c r="E51" s="85">
        <f t="shared" ref="E51:J51" si="47">+E38+E42:F42+E46+E50</f>
        <v>60.4</v>
      </c>
      <c r="F51" s="85">
        <f t="shared" si="47"/>
        <v>60.4</v>
      </c>
      <c r="G51" s="85">
        <f t="shared" si="47"/>
        <v>60.4</v>
      </c>
      <c r="H51" s="85">
        <f t="shared" si="47"/>
        <v>60.4</v>
      </c>
      <c r="I51" s="85">
        <f t="shared" si="47"/>
        <v>60.4</v>
      </c>
      <c r="J51" s="85">
        <f t="shared" si="47"/>
        <v>53.5</v>
      </c>
      <c r="K51" s="85">
        <f>+K38+K42:N42+K46+K50</f>
        <v>53.5</v>
      </c>
      <c r="L51" s="85">
        <f>+L38+L42:O42+L46+L50</f>
        <v>53.5</v>
      </c>
      <c r="M51" s="85">
        <f>+M38+M42:P42+M46+M50</f>
        <v>53.5</v>
      </c>
      <c r="N51" s="142"/>
      <c r="O51" s="85">
        <v>60.4</v>
      </c>
      <c r="P51" s="127">
        <f>+H51-O51</f>
        <v>0</v>
      </c>
    </row>
    <row r="52" spans="1:16" ht="14.4" thickTop="1">
      <c r="A52" s="142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</row>
    <row r="53" spans="1:16" ht="21">
      <c r="A53" s="689" t="s">
        <v>107</v>
      </c>
      <c r="B53" s="77"/>
      <c r="C53" s="77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142"/>
      <c r="O53" s="86"/>
    </row>
    <row r="54" spans="1:16" ht="13.8">
      <c r="A54" s="80" t="s">
        <v>104</v>
      </c>
      <c r="B54" s="81" t="s">
        <v>105</v>
      </c>
      <c r="C54" s="81" t="s">
        <v>105</v>
      </c>
      <c r="D54" s="82">
        <v>4.4000000000000004</v>
      </c>
      <c r="E54" s="82">
        <f t="shared" ref="E54:M54" si="48">D54</f>
        <v>4.4000000000000004</v>
      </c>
      <c r="F54" s="82">
        <f>E54</f>
        <v>4.4000000000000004</v>
      </c>
      <c r="G54" s="82">
        <f t="shared" si="48"/>
        <v>4.4000000000000004</v>
      </c>
      <c r="H54" s="82">
        <f t="shared" si="48"/>
        <v>4.4000000000000004</v>
      </c>
      <c r="I54" s="82">
        <f t="shared" si="48"/>
        <v>4.4000000000000004</v>
      </c>
      <c r="J54" s="82">
        <f t="shared" si="48"/>
        <v>4.4000000000000004</v>
      </c>
      <c r="K54" s="82">
        <f t="shared" si="48"/>
        <v>4.4000000000000004</v>
      </c>
      <c r="L54" s="82">
        <f t="shared" si="48"/>
        <v>4.4000000000000004</v>
      </c>
      <c r="M54" s="82">
        <f t="shared" si="48"/>
        <v>4.4000000000000004</v>
      </c>
      <c r="N54" s="142"/>
      <c r="O54" s="82">
        <v>4.4000000000000004</v>
      </c>
      <c r="P54" s="127">
        <f t="shared" ref="P54:P61" si="49">+H54-O54</f>
        <v>0</v>
      </c>
    </row>
    <row r="55" spans="1:16" ht="13.8">
      <c r="A55" s="80" t="s">
        <v>106</v>
      </c>
      <c r="B55" s="81" t="s">
        <v>105</v>
      </c>
      <c r="C55" s="81" t="s">
        <v>105</v>
      </c>
      <c r="D55" s="82">
        <v>8.0773840000000003</v>
      </c>
      <c r="E55" s="82">
        <v>7.7028999999999996</v>
      </c>
      <c r="F55" s="82">
        <v>7.8148759999999999</v>
      </c>
      <c r="G55" s="82">
        <v>7.8351129999999998</v>
      </c>
      <c r="H55" s="82">
        <v>6.6913119999999999</v>
      </c>
      <c r="I55" s="150">
        <f t="shared" ref="I55:M55" si="50">IF(((H55*H$120)/(H$120+I$114+I$116+I$117))&gt;I32,I32,((H55*H$120)/(H$120+I$114+I$116+I$117)))</f>
        <v>6.6960758143551713</v>
      </c>
      <c r="J55" s="150">
        <f t="shared" si="50"/>
        <v>6.7008318648368901</v>
      </c>
      <c r="K55" s="150">
        <f t="shared" si="50"/>
        <v>6.6391417189771431</v>
      </c>
      <c r="L55" s="150">
        <f t="shared" si="50"/>
        <v>6.6437889669615338</v>
      </c>
      <c r="M55" s="150">
        <f t="shared" si="50"/>
        <v>6.6484287680222227</v>
      </c>
      <c r="N55" s="142"/>
      <c r="O55" s="150">
        <v>7.6130891175033684</v>
      </c>
      <c r="P55" s="127">
        <f t="shared" si="49"/>
        <v>-0.92177711750336844</v>
      </c>
    </row>
    <row r="56" spans="1:16" ht="13.8">
      <c r="A56" s="80" t="str">
        <f>+A33</f>
        <v>Current Expense 1977</v>
      </c>
      <c r="B56" s="81" t="s">
        <v>105</v>
      </c>
      <c r="C56" s="81" t="s">
        <v>105</v>
      </c>
      <c r="D56" s="82">
        <v>0.32570100000000002</v>
      </c>
      <c r="E56" s="82">
        <v>0.31059999999999999</v>
      </c>
      <c r="F56" s="82">
        <v>0.31511600000000001</v>
      </c>
      <c r="G56" s="82">
        <v>0.31593199999999999</v>
      </c>
      <c r="H56" s="82">
        <v>0.26981100000000002</v>
      </c>
      <c r="I56" s="150">
        <f t="shared" ref="I56:M56" si="51">IF(((H56*H$120)/(H$120+I$114+I$116+I$117))&gt;I33,I33,((H56*H$120)/(H$120+I$114+I$116+I$117)))</f>
        <v>0.27000308931148082</v>
      </c>
      <c r="J56" s="150">
        <f t="shared" si="51"/>
        <v>0.27019486556351074</v>
      </c>
      <c r="K56" s="150">
        <f t="shared" si="51"/>
        <v>0.26770735938466805</v>
      </c>
      <c r="L56" s="150">
        <f t="shared" si="51"/>
        <v>0.26789474843870054</v>
      </c>
      <c r="M56" s="150">
        <f t="shared" si="51"/>
        <v>0.26808183721351569</v>
      </c>
      <c r="N56" s="142"/>
      <c r="O56" s="150">
        <v>0.30697942340730427</v>
      </c>
      <c r="P56" s="127">
        <f t="shared" si="49"/>
        <v>-3.7168423407304252E-2</v>
      </c>
    </row>
    <row r="57" spans="1:16" ht="13.8">
      <c r="A57" s="80" t="str">
        <f t="shared" ref="A57:A60" si="52">+A34</f>
        <v>Current Expense 1980</v>
      </c>
      <c r="B57" s="81" t="s">
        <v>105</v>
      </c>
      <c r="C57" s="81" t="s">
        <v>105</v>
      </c>
      <c r="D57" s="82">
        <v>1.57308</v>
      </c>
      <c r="E57" s="82">
        <v>1.5001</v>
      </c>
      <c r="F57" s="82">
        <v>1.5219590000000001</v>
      </c>
      <c r="G57" s="82">
        <v>1.525898</v>
      </c>
      <c r="H57" s="82">
        <v>1.303142</v>
      </c>
      <c r="I57" s="150">
        <f t="shared" ref="I57:M58" si="53">IF(((H57*H$120)/(H$120+I$114+I$116+I$117))&gt;I34,I34,((H57*H$120)/(H$120+I$114+I$116+I$117)))</f>
        <v>1.3040697592445887</v>
      </c>
      <c r="J57" s="150">
        <f t="shared" si="53"/>
        <v>1.3049960064643937</v>
      </c>
      <c r="K57" s="150">
        <f t="shared" si="53"/>
        <v>1.2929817676938864</v>
      </c>
      <c r="L57" s="150">
        <f t="shared" si="53"/>
        <v>1.2938868254811895</v>
      </c>
      <c r="M57" s="150">
        <f t="shared" si="53"/>
        <v>1.2947904329700988</v>
      </c>
      <c r="N57" s="142"/>
      <c r="O57" s="150">
        <v>1.4826585727889507</v>
      </c>
      <c r="P57" s="127">
        <f t="shared" si="49"/>
        <v>-0.17951657278895072</v>
      </c>
    </row>
    <row r="58" spans="1:16" ht="13.8">
      <c r="A58" s="80" t="str">
        <f t="shared" si="52"/>
        <v>Current Expense 1985</v>
      </c>
      <c r="B58" s="81"/>
      <c r="C58" s="81"/>
      <c r="D58" s="82">
        <v>4.8477779999999999</v>
      </c>
      <c r="E58" s="82">
        <v>4.6230000000000002</v>
      </c>
      <c r="F58" s="82">
        <v>4.6902330000000001</v>
      </c>
      <c r="G58" s="82">
        <v>4.7023739999999998</v>
      </c>
      <c r="H58" s="82">
        <v>4.0158990000000001</v>
      </c>
      <c r="I58" s="150">
        <f t="shared" si="53"/>
        <v>4.0187580801482756</v>
      </c>
      <c r="J58" s="150">
        <f t="shared" si="53"/>
        <v>4.0216125006824672</v>
      </c>
      <c r="K58" s="150">
        <f t="shared" si="53"/>
        <v>3.9845881629938331</v>
      </c>
      <c r="L58" s="150">
        <f t="shared" si="53"/>
        <v>3.9873772839514667</v>
      </c>
      <c r="M58" s="150">
        <f t="shared" si="53"/>
        <v>3.9901619355175306</v>
      </c>
      <c r="N58" s="142"/>
      <c r="O58" s="150">
        <v>4.5691226566650389</v>
      </c>
      <c r="P58" s="127">
        <f t="shared" si="49"/>
        <v>-0.55322365666503881</v>
      </c>
    </row>
    <row r="59" spans="1:16" ht="13.8">
      <c r="A59" s="80" t="str">
        <f t="shared" si="52"/>
        <v>Current Expense 1992</v>
      </c>
      <c r="B59" s="81" t="s">
        <v>105</v>
      </c>
      <c r="C59" s="81" t="s">
        <v>105</v>
      </c>
      <c r="D59" s="82">
        <v>3.9579909999999998</v>
      </c>
      <c r="E59" s="82">
        <v>3.7745000000000002</v>
      </c>
      <c r="F59" s="82">
        <v>3.8293620000000002</v>
      </c>
      <c r="G59" s="82">
        <v>3.83927</v>
      </c>
      <c r="H59" s="82">
        <v>3.278797</v>
      </c>
      <c r="I59" s="150">
        <f>IF(((H59*H$120)/(H$120+I$114+I$116+I$117))&gt;I36,I36,((H59*H$120)/(H$120+I$114+I$116+I$117)))</f>
        <v>3.2811313075642405</v>
      </c>
      <c r="J59" s="962">
        <f t="shared" ref="J59:M59" si="54">IF(((I59*I$120)/(I$120+J$114+J$116+J$117))&gt;J36,J36,((I59*I$120)/(I$120+J$114+J$116+J$117)))</f>
        <v>0</v>
      </c>
      <c r="K59" s="962">
        <f t="shared" si="54"/>
        <v>0</v>
      </c>
      <c r="L59" s="962">
        <f t="shared" si="54"/>
        <v>0</v>
      </c>
      <c r="M59" s="962">
        <f t="shared" si="54"/>
        <v>0</v>
      </c>
      <c r="N59" s="142"/>
      <c r="O59" s="150">
        <v>3.7304764661539864</v>
      </c>
      <c r="P59" s="127">
        <f t="shared" si="49"/>
        <v>-0.45167946615398646</v>
      </c>
    </row>
    <row r="60" spans="1:16" ht="13.8">
      <c r="A60" s="690" t="str">
        <f t="shared" si="52"/>
        <v>Current Expense 1997</v>
      </c>
      <c r="B60" s="81" t="str">
        <f>+B37</f>
        <v>n/a</v>
      </c>
      <c r="C60" s="81" t="str">
        <f>+C37</f>
        <v>n/a</v>
      </c>
      <c r="D60" s="692">
        <v>7.7642959999999999</v>
      </c>
      <c r="E60" s="692">
        <v>7.4043000000000001</v>
      </c>
      <c r="F60" s="692">
        <v>7.5119610000000003</v>
      </c>
      <c r="G60" s="692">
        <v>7.5313989999999995</v>
      </c>
      <c r="H60" s="692">
        <v>6.4319319999999998</v>
      </c>
      <c r="I60" s="699">
        <f t="shared" ref="I60:M60" si="55">IF(((H60*H$120)/(H$120+I$114+I$116+I$117))&gt;I37,I37,((H60*H$120)/(H$120+I$114+I$116+I$117)))</f>
        <v>6.4365111512924651</v>
      </c>
      <c r="J60" s="699">
        <f t="shared" si="55"/>
        <v>6.4410828396679261</v>
      </c>
      <c r="K60" s="699">
        <f t="shared" si="55"/>
        <v>6.3817840320140657</v>
      </c>
      <c r="L60" s="699">
        <f t="shared" si="55"/>
        <v>6.3862511354793856</v>
      </c>
      <c r="M60" s="699">
        <f t="shared" si="55"/>
        <v>6.3907110806913083</v>
      </c>
      <c r="N60" s="142"/>
      <c r="O60" s="699">
        <v>7.3179814721849894</v>
      </c>
      <c r="P60" s="127">
        <f t="shared" si="49"/>
        <v>-0.88604947218498964</v>
      </c>
    </row>
    <row r="61" spans="1:16" ht="13.8">
      <c r="A61" s="80" t="s">
        <v>911</v>
      </c>
      <c r="B61" s="81"/>
      <c r="C61" s="81"/>
      <c r="D61" s="82">
        <f t="shared" ref="D61:K61" si="56">IF(SUM(D54:D60)&lt;20,20,SUM(D54:D60))</f>
        <v>30.94623</v>
      </c>
      <c r="E61" s="82">
        <f t="shared" si="56"/>
        <v>29.715399999999999</v>
      </c>
      <c r="F61" s="82">
        <f t="shared" si="56"/>
        <v>30.083507000000001</v>
      </c>
      <c r="G61" s="82">
        <f t="shared" si="56"/>
        <v>30.149985999999998</v>
      </c>
      <c r="H61" s="82">
        <f t="shared" si="56"/>
        <v>26.390893000000002</v>
      </c>
      <c r="I61" s="82">
        <f t="shared" si="56"/>
        <v>26.406549201916221</v>
      </c>
      <c r="J61" s="82">
        <f t="shared" si="56"/>
        <v>23.138718077215188</v>
      </c>
      <c r="K61" s="82">
        <f t="shared" si="56"/>
        <v>22.966203041063594</v>
      </c>
      <c r="L61" s="82">
        <f t="shared" ref="L61:M61" si="57">IF(SUM(L54:L60)&lt;20,20,SUM(L54:L60))</f>
        <v>22.979198960312274</v>
      </c>
      <c r="M61" s="82">
        <f t="shared" si="57"/>
        <v>22.992174054414676</v>
      </c>
      <c r="N61" s="142"/>
      <c r="O61" s="82">
        <v>29.420307708703639</v>
      </c>
      <c r="P61" s="127">
        <f t="shared" si="49"/>
        <v>-3.0294147087036372</v>
      </c>
    </row>
    <row r="62" spans="1:16" ht="13.8">
      <c r="A62" s="80"/>
      <c r="B62" s="81"/>
      <c r="C62" s="81"/>
      <c r="D62" s="82"/>
      <c r="E62" s="82"/>
      <c r="F62" s="82"/>
      <c r="G62" s="82"/>
      <c r="H62" s="82"/>
      <c r="I62" s="150"/>
      <c r="J62" s="150"/>
      <c r="K62" s="150"/>
      <c r="L62" s="150"/>
      <c r="M62" s="150"/>
      <c r="N62" s="142"/>
      <c r="O62" s="150"/>
    </row>
    <row r="63" spans="1:16" ht="13.8">
      <c r="A63" s="693" t="str">
        <f>+A40</f>
        <v>Current Expense (__)No Rollback</v>
      </c>
      <c r="B63" s="81"/>
      <c r="C63" s="81"/>
      <c r="D63" s="82">
        <v>0</v>
      </c>
      <c r="E63" s="82">
        <v>0</v>
      </c>
      <c r="F63" s="82">
        <v>0</v>
      </c>
      <c r="G63" s="82">
        <v>0</v>
      </c>
      <c r="H63" s="82">
        <f t="shared" ref="H63:M63" si="58">IF(((G63*G$120)/(G$120+H$114+H$116+H$117))&gt;H40,H40,((G63*G$120)/(G$120+H$114+H$116+H$117)))</f>
        <v>0</v>
      </c>
      <c r="I63" s="150">
        <f t="shared" si="58"/>
        <v>0</v>
      </c>
      <c r="J63" s="150">
        <f t="shared" si="58"/>
        <v>0</v>
      </c>
      <c r="K63" s="150">
        <f t="shared" si="58"/>
        <v>0</v>
      </c>
      <c r="L63" s="150">
        <f t="shared" si="58"/>
        <v>0</v>
      </c>
      <c r="M63" s="150">
        <f t="shared" si="58"/>
        <v>0</v>
      </c>
      <c r="N63" s="142"/>
      <c r="O63" s="150">
        <v>0</v>
      </c>
    </row>
    <row r="64" spans="1:16" ht="13.8">
      <c r="A64" s="693" t="str">
        <f>+A41</f>
        <v>Current Expense (__)No Rollback</v>
      </c>
      <c r="B64" s="81"/>
      <c r="C64" s="81"/>
      <c r="D64" s="692">
        <v>0</v>
      </c>
      <c r="E64" s="692">
        <v>0</v>
      </c>
      <c r="F64" s="692">
        <v>0</v>
      </c>
      <c r="G64" s="692">
        <v>0</v>
      </c>
      <c r="H64" s="692">
        <f t="shared" ref="H64:M64" si="59">IF(((G64*G$120)/(G$120+H$114+H$116+H$117))&gt;H41,H41,((G64*G$120)/(G$120+H$114+H$116+H$117)))</f>
        <v>0</v>
      </c>
      <c r="I64" s="699">
        <f t="shared" si="59"/>
        <v>0</v>
      </c>
      <c r="J64" s="699">
        <f t="shared" si="59"/>
        <v>0</v>
      </c>
      <c r="K64" s="699">
        <f t="shared" si="59"/>
        <v>0</v>
      </c>
      <c r="L64" s="699">
        <f t="shared" si="59"/>
        <v>0</v>
      </c>
      <c r="M64" s="699">
        <f t="shared" si="59"/>
        <v>0</v>
      </c>
      <c r="N64" s="142"/>
      <c r="O64" s="699">
        <v>0</v>
      </c>
    </row>
    <row r="65" spans="1:16" ht="13.8">
      <c r="A65" s="693" t="str">
        <f>+A42</f>
        <v>Total Operating Levy No Rollback</v>
      </c>
      <c r="B65" s="81"/>
      <c r="C65" s="81"/>
      <c r="D65" s="692">
        <f t="shared" ref="D65:F65" si="60">SUM(D63:D64)</f>
        <v>0</v>
      </c>
      <c r="E65" s="692">
        <f t="shared" si="60"/>
        <v>0</v>
      </c>
      <c r="F65" s="692">
        <f t="shared" si="60"/>
        <v>0</v>
      </c>
      <c r="G65" s="692">
        <f>SUM(G63:G64)</f>
        <v>0</v>
      </c>
      <c r="H65" s="692">
        <f t="shared" ref="H65:K65" si="61">SUM(H63:H64)</f>
        <v>0</v>
      </c>
      <c r="I65" s="699">
        <f t="shared" si="61"/>
        <v>0</v>
      </c>
      <c r="J65" s="699">
        <f t="shared" si="61"/>
        <v>0</v>
      </c>
      <c r="K65" s="699">
        <f t="shared" si="61"/>
        <v>0</v>
      </c>
      <c r="L65" s="699">
        <f t="shared" ref="L65:M65" si="62">SUM(L63:L64)</f>
        <v>0</v>
      </c>
      <c r="M65" s="699">
        <f t="shared" si="62"/>
        <v>0</v>
      </c>
      <c r="N65" s="142"/>
      <c r="O65" s="699">
        <v>0</v>
      </c>
    </row>
    <row r="66" spans="1:16" ht="13.8">
      <c r="A66" s="693" t="s">
        <v>918</v>
      </c>
      <c r="B66" s="81"/>
      <c r="C66" s="81"/>
      <c r="D66" s="82">
        <f t="shared" ref="D66:K66" si="63">IF((SUM(D63:D64)+SUM(D54:D60))&lt;20,20,(SUM(D63:D64))+SUM(D54:D60))</f>
        <v>30.94623</v>
      </c>
      <c r="E66" s="82">
        <f t="shared" si="63"/>
        <v>29.715399999999999</v>
      </c>
      <c r="F66" s="82">
        <f t="shared" si="63"/>
        <v>30.083507000000001</v>
      </c>
      <c r="G66" s="82">
        <f t="shared" si="63"/>
        <v>30.149985999999998</v>
      </c>
      <c r="H66" s="82">
        <f t="shared" si="63"/>
        <v>26.390893000000002</v>
      </c>
      <c r="I66" s="150">
        <f t="shared" si="63"/>
        <v>26.406549201916221</v>
      </c>
      <c r="J66" s="150">
        <f t="shared" si="63"/>
        <v>23.138718077215188</v>
      </c>
      <c r="K66" s="150">
        <f t="shared" si="63"/>
        <v>22.966203041063594</v>
      </c>
      <c r="L66" s="150">
        <f t="shared" ref="L66:M66" si="64">IF((SUM(L63:L64)+SUM(L54:L60))&lt;20,20,(SUM(L63:L64))+SUM(L54:L60))</f>
        <v>22.979198960312274</v>
      </c>
      <c r="M66" s="150">
        <f t="shared" si="64"/>
        <v>22.992174054414676</v>
      </c>
      <c r="N66" s="142"/>
      <c r="O66" s="150">
        <v>29.420307708703639</v>
      </c>
      <c r="P66" s="127">
        <f>+H66-O66</f>
        <v>-3.0294147087036372</v>
      </c>
    </row>
    <row r="67" spans="1:16" ht="13.8">
      <c r="A67" s="80"/>
      <c r="B67" s="81"/>
      <c r="C67" s="81"/>
      <c r="D67" s="82"/>
      <c r="E67" s="82"/>
      <c r="F67" s="82"/>
      <c r="G67" s="82"/>
      <c r="H67" s="82"/>
      <c r="I67" s="150"/>
      <c r="J67" s="150"/>
      <c r="K67" s="150"/>
      <c r="L67" s="150"/>
      <c r="M67" s="150"/>
      <c r="N67" s="142"/>
      <c r="O67" s="150"/>
    </row>
    <row r="68" spans="1:16" ht="13.8">
      <c r="A68" s="694" t="str">
        <f>+A44</f>
        <v>Emergency ($)</v>
      </c>
      <c r="B68" s="81">
        <f>+B44</f>
        <v>0</v>
      </c>
      <c r="C68" s="81"/>
      <c r="D68" s="82">
        <f t="shared" ref="D68:K69" si="65">+D44</f>
        <v>0</v>
      </c>
      <c r="E68" s="82">
        <f t="shared" si="65"/>
        <v>0</v>
      </c>
      <c r="F68" s="82">
        <f t="shared" si="65"/>
        <v>0</v>
      </c>
      <c r="G68" s="82">
        <f t="shared" si="65"/>
        <v>0</v>
      </c>
      <c r="H68" s="82">
        <f t="shared" si="65"/>
        <v>0</v>
      </c>
      <c r="I68" s="150">
        <f t="shared" si="65"/>
        <v>0</v>
      </c>
      <c r="J68" s="150">
        <f t="shared" si="65"/>
        <v>0</v>
      </c>
      <c r="K68" s="150">
        <f t="shared" si="65"/>
        <v>0</v>
      </c>
      <c r="L68" s="150">
        <f t="shared" ref="L68:M68" si="66">+L44</f>
        <v>0</v>
      </c>
      <c r="M68" s="150">
        <f t="shared" si="66"/>
        <v>0</v>
      </c>
      <c r="N68" s="142"/>
      <c r="O68" s="150">
        <v>0</v>
      </c>
    </row>
    <row r="69" spans="1:16" ht="13.8">
      <c r="A69" s="695" t="str">
        <f>+A45</f>
        <v>Emergency ($)</v>
      </c>
      <c r="B69" s="81">
        <f>+B45</f>
        <v>0</v>
      </c>
      <c r="C69" s="81"/>
      <c r="D69" s="692">
        <f t="shared" si="65"/>
        <v>0</v>
      </c>
      <c r="E69" s="692">
        <f t="shared" si="65"/>
        <v>0</v>
      </c>
      <c r="F69" s="692">
        <f t="shared" si="65"/>
        <v>0</v>
      </c>
      <c r="G69" s="692">
        <f t="shared" si="65"/>
        <v>0</v>
      </c>
      <c r="H69" s="692">
        <f t="shared" si="65"/>
        <v>0</v>
      </c>
      <c r="I69" s="699">
        <f t="shared" si="65"/>
        <v>0</v>
      </c>
      <c r="J69" s="699">
        <f t="shared" si="65"/>
        <v>0</v>
      </c>
      <c r="K69" s="699">
        <f t="shared" si="65"/>
        <v>0</v>
      </c>
      <c r="L69" s="699">
        <f t="shared" ref="L69:M69" si="67">+L45</f>
        <v>0</v>
      </c>
      <c r="M69" s="699">
        <f t="shared" si="67"/>
        <v>0</v>
      </c>
      <c r="N69" s="142"/>
      <c r="O69" s="699">
        <v>0</v>
      </c>
    </row>
    <row r="70" spans="1:16" ht="13.8">
      <c r="A70" s="694" t="s">
        <v>914</v>
      </c>
      <c r="B70" s="81"/>
      <c r="C70" s="81"/>
      <c r="D70" s="82">
        <f t="shared" ref="D70:K70" si="68">SUM(D68:D69)</f>
        <v>0</v>
      </c>
      <c r="E70" s="82">
        <f t="shared" si="68"/>
        <v>0</v>
      </c>
      <c r="F70" s="82">
        <f t="shared" si="68"/>
        <v>0</v>
      </c>
      <c r="G70" s="82">
        <f t="shared" si="68"/>
        <v>0</v>
      </c>
      <c r="H70" s="82">
        <f t="shared" si="68"/>
        <v>0</v>
      </c>
      <c r="I70" s="150">
        <f t="shared" si="68"/>
        <v>0</v>
      </c>
      <c r="J70" s="150">
        <f t="shared" si="68"/>
        <v>0</v>
      </c>
      <c r="K70" s="150">
        <f t="shared" si="68"/>
        <v>0</v>
      </c>
      <c r="L70" s="150">
        <f t="shared" ref="L70:M70" si="69">SUM(L68:L69)</f>
        <v>0</v>
      </c>
      <c r="M70" s="150">
        <f t="shared" si="69"/>
        <v>0</v>
      </c>
      <c r="N70" s="142"/>
      <c r="O70" s="150">
        <v>0</v>
      </c>
    </row>
    <row r="71" spans="1:16" ht="13.8">
      <c r="A71" s="80"/>
      <c r="B71" s="81"/>
      <c r="C71" s="81"/>
      <c r="D71" s="82"/>
      <c r="E71" s="82"/>
      <c r="F71" s="82"/>
      <c r="G71" s="82"/>
      <c r="H71" s="82"/>
      <c r="I71" s="150"/>
      <c r="J71" s="150"/>
      <c r="K71" s="150"/>
      <c r="L71" s="150"/>
      <c r="M71" s="150"/>
      <c r="N71" s="142"/>
      <c r="O71" s="150"/>
    </row>
    <row r="72" spans="1:16" ht="13.8">
      <c r="A72" s="696" t="s">
        <v>929</v>
      </c>
      <c r="B72" s="81"/>
      <c r="C72" s="81"/>
      <c r="D72" s="82">
        <f t="shared" ref="D72:K73" si="70">+D48</f>
        <v>0</v>
      </c>
      <c r="E72" s="82">
        <f t="shared" si="70"/>
        <v>0</v>
      </c>
      <c r="F72" s="82">
        <f t="shared" si="70"/>
        <v>0</v>
      </c>
      <c r="G72" s="82">
        <f t="shared" si="70"/>
        <v>0</v>
      </c>
      <c r="H72" s="82">
        <f t="shared" si="70"/>
        <v>0</v>
      </c>
      <c r="I72" s="150">
        <f t="shared" si="70"/>
        <v>0</v>
      </c>
      <c r="J72" s="150">
        <f t="shared" si="70"/>
        <v>0</v>
      </c>
      <c r="K72" s="150">
        <f t="shared" si="70"/>
        <v>0</v>
      </c>
      <c r="L72" s="150">
        <f t="shared" ref="L72:M72" si="71">+L48</f>
        <v>0</v>
      </c>
      <c r="M72" s="150">
        <f t="shared" si="71"/>
        <v>0</v>
      </c>
      <c r="N72" s="142"/>
      <c r="O72" s="150">
        <v>0</v>
      </c>
    </row>
    <row r="73" spans="1:16" ht="13.8">
      <c r="A73" s="697" t="s">
        <v>916</v>
      </c>
      <c r="B73" s="81"/>
      <c r="C73" s="81"/>
      <c r="D73" s="692">
        <f t="shared" si="70"/>
        <v>0</v>
      </c>
      <c r="E73" s="692">
        <f t="shared" si="70"/>
        <v>0</v>
      </c>
      <c r="F73" s="692">
        <f t="shared" si="70"/>
        <v>0</v>
      </c>
      <c r="G73" s="692">
        <f t="shared" si="70"/>
        <v>0</v>
      </c>
      <c r="H73" s="692">
        <f t="shared" si="70"/>
        <v>0</v>
      </c>
      <c r="I73" s="699">
        <f t="shared" si="70"/>
        <v>0</v>
      </c>
      <c r="J73" s="699">
        <f t="shared" si="70"/>
        <v>0</v>
      </c>
      <c r="K73" s="699">
        <f t="shared" si="70"/>
        <v>0</v>
      </c>
      <c r="L73" s="699">
        <f t="shared" ref="L73:M73" si="72">+L49</f>
        <v>0</v>
      </c>
      <c r="M73" s="699">
        <f t="shared" si="72"/>
        <v>0</v>
      </c>
      <c r="N73" s="142"/>
      <c r="O73" s="699">
        <v>0</v>
      </c>
    </row>
    <row r="74" spans="1:16" ht="13.8">
      <c r="A74" s="696" t="s">
        <v>917</v>
      </c>
      <c r="B74" s="81"/>
      <c r="C74" s="81"/>
      <c r="D74" s="82">
        <f t="shared" ref="D74:K74" si="73">SUM(D72:D73)</f>
        <v>0</v>
      </c>
      <c r="E74" s="82">
        <f t="shared" si="73"/>
        <v>0</v>
      </c>
      <c r="F74" s="82">
        <f t="shared" si="73"/>
        <v>0</v>
      </c>
      <c r="G74" s="82">
        <f t="shared" si="73"/>
        <v>0</v>
      </c>
      <c r="H74" s="82">
        <f t="shared" si="73"/>
        <v>0</v>
      </c>
      <c r="I74" s="82">
        <f t="shared" si="73"/>
        <v>0</v>
      </c>
      <c r="J74" s="82">
        <f t="shared" si="73"/>
        <v>0</v>
      </c>
      <c r="K74" s="82">
        <f t="shared" si="73"/>
        <v>0</v>
      </c>
      <c r="L74" s="82">
        <f t="shared" ref="L74:M74" si="74">SUM(L72:L73)</f>
        <v>0</v>
      </c>
      <c r="M74" s="82">
        <f t="shared" si="74"/>
        <v>0</v>
      </c>
      <c r="N74" s="142"/>
      <c r="O74" s="82">
        <v>0</v>
      </c>
    </row>
    <row r="75" spans="1:16" ht="14.4" thickBot="1">
      <c r="A75" s="84" t="s">
        <v>280</v>
      </c>
      <c r="B75" s="47"/>
      <c r="C75" s="47"/>
      <c r="D75" s="85">
        <f t="shared" ref="D75:K75" si="75">+D74+D70+D66</f>
        <v>30.94623</v>
      </c>
      <c r="E75" s="85">
        <f t="shared" si="75"/>
        <v>29.715399999999999</v>
      </c>
      <c r="F75" s="85">
        <f t="shared" si="75"/>
        <v>30.083507000000001</v>
      </c>
      <c r="G75" s="85">
        <f t="shared" si="75"/>
        <v>30.149985999999998</v>
      </c>
      <c r="H75" s="85">
        <f t="shared" si="75"/>
        <v>26.390893000000002</v>
      </c>
      <c r="I75" s="85">
        <f t="shared" si="75"/>
        <v>26.406549201916221</v>
      </c>
      <c r="J75" s="85">
        <f t="shared" si="75"/>
        <v>23.138718077215188</v>
      </c>
      <c r="K75" s="85">
        <f t="shared" si="75"/>
        <v>22.966203041063594</v>
      </c>
      <c r="L75" s="85">
        <f t="shared" ref="L75:M75" si="76">+L74+L70+L66</f>
        <v>22.979198960312274</v>
      </c>
      <c r="M75" s="85">
        <f t="shared" si="76"/>
        <v>22.992174054414676</v>
      </c>
      <c r="N75" s="142"/>
      <c r="O75" s="85">
        <v>29.420307708703639</v>
      </c>
      <c r="P75" s="127">
        <f t="shared" ref="P75:P76" si="77">+H75-O75</f>
        <v>-3.0294147087036372</v>
      </c>
    </row>
    <row r="76" spans="1:16" ht="14.4" thickTop="1">
      <c r="A76" s="140" t="s">
        <v>421</v>
      </c>
      <c r="D76" s="141" t="e">
        <f>(D114+D116+D117)/#REF!</f>
        <v>#REF!</v>
      </c>
      <c r="E76" s="141">
        <f>(E114+E116+E117)/D120</f>
        <v>3.1690783783354048E-2</v>
      </c>
      <c r="F76" s="141">
        <f>(F114+F116+F117)/E120</f>
        <v>-1.51334688017087E-2</v>
      </c>
      <c r="G76" s="141">
        <f>(G114+G116+G117)/F120</f>
        <v>-1.5282554681503417E-3</v>
      </c>
      <c r="H76" s="141">
        <f t="shared" ref="H76:M76" si="78">(H114+H116+H117)/G120</f>
        <v>0.17226127414651629</v>
      </c>
      <c r="I76" s="141">
        <f t="shared" si="78"/>
        <v>-7.1143375422347093E-4</v>
      </c>
      <c r="J76" s="141">
        <f t="shared" si="78"/>
        <v>-7.0977015654974482E-4</v>
      </c>
      <c r="K76" s="141">
        <f t="shared" si="78"/>
        <v>9.2918856790499462E-3</v>
      </c>
      <c r="L76" s="141">
        <f t="shared" si="78"/>
        <v>-6.994875977398698E-4</v>
      </c>
      <c r="M76" s="141">
        <f t="shared" si="78"/>
        <v>-6.9787933699552197E-4</v>
      </c>
      <c r="N76" s="142"/>
      <c r="O76" s="141">
        <v>2.9163441944502235E-2</v>
      </c>
      <c r="P76" s="127">
        <f t="shared" si="77"/>
        <v>0.14309783220201405</v>
      </c>
    </row>
    <row r="77" spans="1:16" ht="13.8"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2"/>
      <c r="O77" s="141"/>
    </row>
    <row r="79" spans="1:16" ht="21">
      <c r="A79" s="689" t="s">
        <v>919</v>
      </c>
      <c r="B79" s="77"/>
      <c r="C79" s="77"/>
      <c r="D79" s="86"/>
      <c r="E79" s="86"/>
      <c r="F79" s="86"/>
      <c r="G79" s="86"/>
      <c r="H79" s="86"/>
      <c r="I79" s="86"/>
      <c r="J79" s="86"/>
      <c r="K79" s="86"/>
      <c r="L79" s="86"/>
      <c r="M79" s="86"/>
      <c r="O79" s="86"/>
    </row>
    <row r="80" spans="1:16" ht="13.8">
      <c r="A80" s="80" t="s">
        <v>104</v>
      </c>
      <c r="B80" s="81" t="s">
        <v>105</v>
      </c>
      <c r="C80" s="81" t="s">
        <v>105</v>
      </c>
      <c r="D80" s="82">
        <v>4.4000000000000004</v>
      </c>
      <c r="E80" s="82">
        <f>+D80</f>
        <v>4.4000000000000004</v>
      </c>
      <c r="F80" s="82">
        <f>+E80</f>
        <v>4.4000000000000004</v>
      </c>
      <c r="G80" s="82">
        <f t="shared" ref="G80:M80" si="79">+F80</f>
        <v>4.4000000000000004</v>
      </c>
      <c r="H80" s="82">
        <f t="shared" si="79"/>
        <v>4.4000000000000004</v>
      </c>
      <c r="I80" s="82">
        <f t="shared" si="79"/>
        <v>4.4000000000000004</v>
      </c>
      <c r="J80" s="82">
        <f t="shared" si="79"/>
        <v>4.4000000000000004</v>
      </c>
      <c r="K80" s="82">
        <f t="shared" si="79"/>
        <v>4.4000000000000004</v>
      </c>
      <c r="L80" s="82">
        <f t="shared" si="79"/>
        <v>4.4000000000000004</v>
      </c>
      <c r="M80" s="82">
        <f t="shared" si="79"/>
        <v>4.4000000000000004</v>
      </c>
      <c r="O80" s="82">
        <v>4.4000000000000004</v>
      </c>
      <c r="P80" s="127">
        <f t="shared" ref="P80:P87" si="80">+H80-O80</f>
        <v>0</v>
      </c>
    </row>
    <row r="81" spans="1:16" ht="13.8">
      <c r="A81" s="80" t="s">
        <v>106</v>
      </c>
      <c r="B81" s="81" t="s">
        <v>105</v>
      </c>
      <c r="C81" s="81" t="s">
        <v>105</v>
      </c>
      <c r="D81" s="82">
        <v>15.399981</v>
      </c>
      <c r="E81" s="82">
        <v>16.511299999999999</v>
      </c>
      <c r="F81" s="82">
        <v>17.007517</v>
      </c>
      <c r="G81" s="82">
        <v>16.936515</v>
      </c>
      <c r="H81" s="82">
        <v>16.835132000000002</v>
      </c>
      <c r="I81" s="150">
        <f t="shared" ref="I81:M81" si="81">IF(((H81*H$135)/(H$135+I$129+I$131+I$132))&gt;I32,I32,((H81*H$135)/(H$135+I$129+I$131+I$132)))</f>
        <v>16.882359312798194</v>
      </c>
      <c r="J81" s="150">
        <f t="shared" si="81"/>
        <v>16.92867959255992</v>
      </c>
      <c r="K81" s="150">
        <f t="shared" si="81"/>
        <v>16.889455367390404</v>
      </c>
      <c r="L81" s="150">
        <f t="shared" si="81"/>
        <v>16.933629596157378</v>
      </c>
      <c r="M81" s="150">
        <f t="shared" si="81"/>
        <v>16.977011650405117</v>
      </c>
      <c r="O81" s="150">
        <v>16.862430086643382</v>
      </c>
      <c r="P81" s="127">
        <f t="shared" si="80"/>
        <v>-2.7298086643380515E-2</v>
      </c>
    </row>
    <row r="82" spans="1:16" ht="13.8">
      <c r="A82" s="80" t="str">
        <f>+A56</f>
        <v>Current Expense 1977</v>
      </c>
      <c r="B82" s="81" t="s">
        <v>105</v>
      </c>
      <c r="C82" s="81" t="s">
        <v>105</v>
      </c>
      <c r="D82" s="82">
        <v>0.62096700000000005</v>
      </c>
      <c r="E82" s="82">
        <v>0.66579999999999995</v>
      </c>
      <c r="F82" s="82">
        <v>0.68578700000000004</v>
      </c>
      <c r="G82" s="82">
        <v>0.68292399999999998</v>
      </c>
      <c r="H82" s="82">
        <v>0.67883599999999999</v>
      </c>
      <c r="I82" s="150">
        <f t="shared" ref="I82:M82" si="82">IF(((H82*H$135)/(H$135+I$129+I$131+I$132))&gt;I33,I33,((H82*H$135)/(H$135+I$129+I$131+I$132)))</f>
        <v>0.68074032721945243</v>
      </c>
      <c r="J82" s="150">
        <f t="shared" si="82"/>
        <v>0.68260808052440602</v>
      </c>
      <c r="K82" s="150">
        <f t="shared" si="82"/>
        <v>0.68102645846660614</v>
      </c>
      <c r="L82" s="150">
        <f t="shared" si="82"/>
        <v>0.68280767745314319</v>
      </c>
      <c r="M82" s="150">
        <f t="shared" si="82"/>
        <v>0.6845569539172256</v>
      </c>
      <c r="O82" s="150">
        <v>0.67993670507131143</v>
      </c>
      <c r="P82" s="127">
        <f t="shared" si="80"/>
        <v>-1.1007050713114364E-3</v>
      </c>
    </row>
    <row r="83" spans="1:16" ht="13.8">
      <c r="A83" s="80" t="str">
        <f>+A57</f>
        <v>Current Expense 1980</v>
      </c>
      <c r="B83" s="81" t="s">
        <v>105</v>
      </c>
      <c r="C83" s="81" t="s">
        <v>105</v>
      </c>
      <c r="D83" s="82">
        <v>2.9971299999999998</v>
      </c>
      <c r="E83" s="82">
        <v>3.2134</v>
      </c>
      <c r="F83" s="82">
        <v>3.3099880000000002</v>
      </c>
      <c r="G83" s="82">
        <v>3.2961659999999999</v>
      </c>
      <c r="H83" s="82">
        <v>3.2764319999999998</v>
      </c>
      <c r="I83" s="150">
        <f t="shared" ref="I83:M83" si="83">IF(((H83*H$135)/(H$135+I$129+I$131+I$132))&gt;I34,I34,((H83*H$135)/(H$135+I$129+I$131+I$132)))</f>
        <v>3.2856233196122253</v>
      </c>
      <c r="J83" s="150">
        <f t="shared" si="83"/>
        <v>3.2946381136073226</v>
      </c>
      <c r="K83" s="150">
        <f t="shared" si="83"/>
        <v>3.287004344741085</v>
      </c>
      <c r="L83" s="150">
        <f t="shared" si="83"/>
        <v>3.295601477018244</v>
      </c>
      <c r="M83" s="150">
        <f t="shared" si="83"/>
        <v>3.304044437296966</v>
      </c>
      <c r="O83" s="150">
        <v>3.2817476753022072</v>
      </c>
      <c r="P83" s="127">
        <f t="shared" si="80"/>
        <v>-5.3156753022074454E-3</v>
      </c>
    </row>
    <row r="84" spans="1:16" ht="13.8">
      <c r="A84" s="80" t="str">
        <f>+A58</f>
        <v>Current Expense 1985</v>
      </c>
      <c r="B84" s="81" t="s">
        <v>105</v>
      </c>
      <c r="C84" s="81" t="s">
        <v>105</v>
      </c>
      <c r="D84" s="82">
        <v>9</v>
      </c>
      <c r="E84" s="82">
        <v>9</v>
      </c>
      <c r="F84" s="82">
        <v>9</v>
      </c>
      <c r="G84" s="82">
        <v>8.9624159999999993</v>
      </c>
      <c r="H84" s="82">
        <v>8.9087669999999992</v>
      </c>
      <c r="I84" s="150">
        <f t="shared" ref="I84" si="84">IF(((H84*H$135)/(H$135+I$129+I$131+I$132))&gt;I35,I35,((H84*H$135)/(H$135+I$129+I$131+I$132)))</f>
        <v>8.9337586143072247</v>
      </c>
      <c r="J84" s="150">
        <f t="shared" ref="J84" si="85">IF(((I84*I$135)/(I$135+J$129+J$131+J$132))&gt;J35,J35,((I84*I$135)/(I$135+J$129+J$131+J$132)))</f>
        <v>8.958270247466503</v>
      </c>
      <c r="K84" s="150">
        <f t="shared" ref="K84" si="86">IF(((J84*J$135)/(J$135+K$129+K$131+K$132))&gt;K35,K35,((J84*J$135)/(J$135+K$129+K$131+K$132)))</f>
        <v>8.9375136841802316</v>
      </c>
      <c r="L84" s="150">
        <f t="shared" ref="L84:M84" si="87">IF(((K84*K$135)/(K$135+L$129+L$131+L$132))&gt;L35,L35,((K84*K$135)/(K$135+L$129+L$131+L$132)))</f>
        <v>8.960889676212231</v>
      </c>
      <c r="M84" s="150">
        <f t="shared" si="87"/>
        <v>8.9838464675979175</v>
      </c>
      <c r="O84" s="150">
        <v>8.9232119599229254</v>
      </c>
      <c r="P84" s="127">
        <f t="shared" si="80"/>
        <v>-1.4444959922926159E-2</v>
      </c>
    </row>
    <row r="85" spans="1:16" ht="13.8">
      <c r="A85" s="80" t="str">
        <f>+A59</f>
        <v>Current Expense 1992</v>
      </c>
      <c r="B85" s="81" t="s">
        <v>105</v>
      </c>
      <c r="C85" s="81" t="s">
        <v>105</v>
      </c>
      <c r="D85" s="82">
        <v>6.9</v>
      </c>
      <c r="E85" s="82">
        <v>6.9</v>
      </c>
      <c r="F85" s="82">
        <v>6.9</v>
      </c>
      <c r="G85" s="82">
        <v>6.8711849999999997</v>
      </c>
      <c r="H85" s="82">
        <v>6.8300539999999996</v>
      </c>
      <c r="I85" s="150">
        <f t="shared" ref="I85:M85" si="88">IF(((H85*H$135)/(H$135+I$129+I$131+I$132))&gt;I36,I36,((H85*H$135)/(H$135+I$129+I$131+I$132)))</f>
        <v>6.8492142356718402</v>
      </c>
      <c r="J85" s="962">
        <f t="shared" si="88"/>
        <v>0</v>
      </c>
      <c r="K85" s="962">
        <f t="shared" si="88"/>
        <v>0</v>
      </c>
      <c r="L85" s="962">
        <f t="shared" si="88"/>
        <v>0</v>
      </c>
      <c r="M85" s="962">
        <f t="shared" si="88"/>
        <v>0</v>
      </c>
      <c r="O85" s="150">
        <v>6.8411285718988051</v>
      </c>
      <c r="P85" s="127">
        <f t="shared" si="80"/>
        <v>-1.1074571898805452E-2</v>
      </c>
    </row>
    <row r="86" spans="1:16" ht="13.8">
      <c r="A86" s="690" t="str">
        <f>+A60</f>
        <v>Current Expense 1997</v>
      </c>
      <c r="B86" s="81" t="s">
        <v>105</v>
      </c>
      <c r="C86" s="81" t="s">
        <v>105</v>
      </c>
      <c r="D86" s="692">
        <v>10.4</v>
      </c>
      <c r="E86" s="692">
        <v>10.4</v>
      </c>
      <c r="F86" s="692">
        <v>10.4</v>
      </c>
      <c r="G86" s="692">
        <v>10.356569</v>
      </c>
      <c r="H86" s="692">
        <v>10.294575</v>
      </c>
      <c r="I86" s="699">
        <f t="shared" ref="I86:M86" si="89">IF(((H86*H$135)/(H$135+I$129+I$131+I$132))&gt;I37,I37,((H86*H$135)/(H$135+I$129+I$131+I$132)))</f>
        <v>10.323454198193957</v>
      </c>
      <c r="J86" s="699">
        <f t="shared" si="89"/>
        <v>10.351778751516619</v>
      </c>
      <c r="K86" s="699">
        <f t="shared" si="89"/>
        <v>10.327793389962908</v>
      </c>
      <c r="L86" s="699">
        <f t="shared" si="89"/>
        <v>10.354805646897322</v>
      </c>
      <c r="M86" s="699">
        <f t="shared" si="89"/>
        <v>10.381333494205407</v>
      </c>
      <c r="O86" s="699">
        <v>10.311266556313278</v>
      </c>
      <c r="P86" s="127">
        <f t="shared" si="80"/>
        <v>-1.66915563132779E-2</v>
      </c>
    </row>
    <row r="87" spans="1:16" ht="13.8">
      <c r="A87" s="80" t="s">
        <v>911</v>
      </c>
      <c r="B87" s="81"/>
      <c r="C87" s="81"/>
      <c r="D87" s="82">
        <f t="shared" ref="D87:K87" si="90">IF(SUM(D80:D86)&lt;20,20,SUM(D80:D86))</f>
        <v>49.718077999999998</v>
      </c>
      <c r="E87" s="82">
        <f t="shared" si="90"/>
        <v>51.090499999999992</v>
      </c>
      <c r="F87" s="82">
        <f t="shared" si="90"/>
        <v>51.703291999999998</v>
      </c>
      <c r="G87" s="82">
        <f t="shared" si="90"/>
        <v>51.505774999999993</v>
      </c>
      <c r="H87" s="82">
        <f t="shared" si="90"/>
        <v>51.223796</v>
      </c>
      <c r="I87" s="82">
        <f t="shared" si="90"/>
        <v>51.355150007802891</v>
      </c>
      <c r="J87" s="82">
        <f t="shared" si="90"/>
        <v>44.615974785674773</v>
      </c>
      <c r="K87" s="82">
        <f t="shared" si="90"/>
        <v>44.52279324474123</v>
      </c>
      <c r="L87" s="82">
        <f t="shared" ref="L87:M87" si="91">IF(SUM(L80:L86)&lt;20,20,SUM(L80:L86))</f>
        <v>44.627734073738324</v>
      </c>
      <c r="M87" s="82">
        <f t="shared" si="91"/>
        <v>44.730793003422633</v>
      </c>
      <c r="O87" s="82">
        <v>51.299721555151912</v>
      </c>
      <c r="P87" s="127">
        <f t="shared" si="80"/>
        <v>-7.5925555151911794E-2</v>
      </c>
    </row>
    <row r="88" spans="1:16" ht="13.8">
      <c r="A88" s="80"/>
      <c r="B88" s="81"/>
      <c r="C88" s="81"/>
      <c r="D88" s="82"/>
      <c r="E88" s="82"/>
      <c r="F88" s="82"/>
      <c r="G88" s="82"/>
      <c r="H88" s="82"/>
      <c r="I88" s="150"/>
      <c r="J88" s="150"/>
      <c r="K88" s="150"/>
      <c r="L88" s="150"/>
      <c r="M88" s="150"/>
      <c r="O88" s="150"/>
    </row>
    <row r="89" spans="1:16" ht="13.8">
      <c r="A89" s="693" t="s">
        <v>912</v>
      </c>
      <c r="B89" s="81"/>
      <c r="C89" s="81"/>
      <c r="D89" s="82">
        <v>0</v>
      </c>
      <c r="E89" s="82">
        <v>0</v>
      </c>
      <c r="F89" s="82">
        <v>0</v>
      </c>
      <c r="G89" s="82">
        <f>IF(IF(G$102&lt;1,(-G$102+1)*F89,(G$102+1)*F89)&gt;G40,+G40,+F89*(1-G$102))</f>
        <v>0</v>
      </c>
      <c r="H89" s="82">
        <f t="shared" ref="H89:M89" si="92">IF(((G89*G$135)/(G$135+H$129+H$131+H$132))&gt;H40,H40,((G89*G$135)/(G$135+H$129+H$131+H$132)))</f>
        <v>0</v>
      </c>
      <c r="I89" s="150">
        <f t="shared" si="92"/>
        <v>0</v>
      </c>
      <c r="J89" s="150">
        <f t="shared" si="92"/>
        <v>0</v>
      </c>
      <c r="K89" s="150">
        <f t="shared" si="92"/>
        <v>0</v>
      </c>
      <c r="L89" s="150">
        <f t="shared" si="92"/>
        <v>0</v>
      </c>
      <c r="M89" s="150">
        <f t="shared" si="92"/>
        <v>0</v>
      </c>
      <c r="O89" s="150">
        <v>0</v>
      </c>
    </row>
    <row r="90" spans="1:16" ht="13.8">
      <c r="A90" s="693" t="s">
        <v>912</v>
      </c>
      <c r="B90" s="81"/>
      <c r="C90" s="81"/>
      <c r="D90" s="692">
        <v>0</v>
      </c>
      <c r="E90" s="692">
        <v>0</v>
      </c>
      <c r="F90" s="692">
        <v>0</v>
      </c>
      <c r="G90" s="692">
        <f>IF(IF(G$102&lt;1,(-G$102+1)*F90,(G$102+1)*F90)&gt;G41,+G41,+F90*(1-G$102))</f>
        <v>0</v>
      </c>
      <c r="H90" s="692">
        <f t="shared" ref="H90:M90" si="93">IF(((G90*G$135)/(G$135+H$129+H$131+H$132))&gt;H41,H41,((G90*G$135)/(G$135+H$129+H$131+H$132)))</f>
        <v>0</v>
      </c>
      <c r="I90" s="699">
        <f t="shared" si="93"/>
        <v>0</v>
      </c>
      <c r="J90" s="699">
        <f t="shared" si="93"/>
        <v>0</v>
      </c>
      <c r="K90" s="699">
        <f t="shared" si="93"/>
        <v>0</v>
      </c>
      <c r="L90" s="699">
        <f t="shared" si="93"/>
        <v>0</v>
      </c>
      <c r="M90" s="699">
        <f t="shared" si="93"/>
        <v>0</v>
      </c>
      <c r="O90" s="699">
        <v>0</v>
      </c>
    </row>
    <row r="91" spans="1:16" ht="13.8">
      <c r="A91" s="693" t="s">
        <v>913</v>
      </c>
      <c r="B91" s="81"/>
      <c r="C91" s="81"/>
      <c r="D91" s="692">
        <f t="shared" ref="D91:F91" si="94">SUM(D89:D90)</f>
        <v>0</v>
      </c>
      <c r="E91" s="692">
        <f t="shared" si="94"/>
        <v>0</v>
      </c>
      <c r="F91" s="692">
        <f t="shared" si="94"/>
        <v>0</v>
      </c>
      <c r="G91" s="692">
        <f>SUM(G89:G90)</f>
        <v>0</v>
      </c>
      <c r="H91" s="692">
        <f t="shared" ref="H91:K91" si="95">SUM(H89:H90)</f>
        <v>0</v>
      </c>
      <c r="I91" s="699">
        <f t="shared" si="95"/>
        <v>0</v>
      </c>
      <c r="J91" s="699">
        <f t="shared" si="95"/>
        <v>0</v>
      </c>
      <c r="K91" s="699">
        <f t="shared" si="95"/>
        <v>0</v>
      </c>
      <c r="L91" s="699">
        <f t="shared" ref="L91:M91" si="96">SUM(L89:L90)</f>
        <v>0</v>
      </c>
      <c r="M91" s="699">
        <f t="shared" si="96"/>
        <v>0</v>
      </c>
      <c r="O91" s="699">
        <v>0</v>
      </c>
    </row>
    <row r="92" spans="1:16" ht="13.8">
      <c r="A92" s="693" t="s">
        <v>918</v>
      </c>
      <c r="B92" s="81"/>
      <c r="C92" s="81"/>
      <c r="D92" s="82">
        <f t="shared" ref="D92:K92" si="97">IF((SUM(D89:D90)+SUM(D80:D86))&lt;20,20,(SUM(D89:D90))+SUM(D80:D86))</f>
        <v>49.718077999999998</v>
      </c>
      <c r="E92" s="82">
        <f t="shared" si="97"/>
        <v>51.090499999999992</v>
      </c>
      <c r="F92" s="82">
        <f t="shared" si="97"/>
        <v>51.703291999999998</v>
      </c>
      <c r="G92" s="82">
        <f t="shared" si="97"/>
        <v>51.505774999999993</v>
      </c>
      <c r="H92" s="82">
        <f t="shared" si="97"/>
        <v>51.223796</v>
      </c>
      <c r="I92" s="150">
        <f t="shared" si="97"/>
        <v>51.355150007802891</v>
      </c>
      <c r="J92" s="150">
        <f t="shared" si="97"/>
        <v>44.615974785674773</v>
      </c>
      <c r="K92" s="150">
        <f t="shared" si="97"/>
        <v>44.52279324474123</v>
      </c>
      <c r="L92" s="150">
        <f t="shared" ref="L92:M92" si="98">IF((SUM(L89:L90)+SUM(L80:L86))&lt;20,20,(SUM(L89:L90))+SUM(L80:L86))</f>
        <v>44.627734073738324</v>
      </c>
      <c r="M92" s="150">
        <f t="shared" si="98"/>
        <v>44.730793003422633</v>
      </c>
      <c r="O92" s="150">
        <v>51.299721555151912</v>
      </c>
      <c r="P92" s="127">
        <f>+H92-O92</f>
        <v>-7.5925555151911794E-2</v>
      </c>
    </row>
    <row r="93" spans="1:16" ht="13.8">
      <c r="A93" s="80"/>
      <c r="B93" s="81"/>
      <c r="C93" s="81"/>
      <c r="D93" s="82"/>
      <c r="E93" s="82"/>
      <c r="F93" s="82"/>
      <c r="G93" s="82"/>
      <c r="H93" s="82"/>
      <c r="I93" s="150"/>
      <c r="J93" s="150"/>
      <c r="K93" s="150"/>
      <c r="L93" s="150"/>
      <c r="M93" s="150"/>
      <c r="O93" s="150"/>
    </row>
    <row r="94" spans="1:16" ht="13.8">
      <c r="A94" s="694" t="str">
        <f>+A44</f>
        <v>Emergency ($)</v>
      </c>
      <c r="B94" s="81">
        <f>+B44</f>
        <v>0</v>
      </c>
      <c r="C94" s="81"/>
      <c r="D94" s="82">
        <f t="shared" ref="D94:F94" si="99">+D44</f>
        <v>0</v>
      </c>
      <c r="E94" s="82">
        <f t="shared" si="99"/>
        <v>0</v>
      </c>
      <c r="F94" s="82">
        <f t="shared" si="99"/>
        <v>0</v>
      </c>
      <c r="G94" s="82">
        <f>+G44</f>
        <v>0</v>
      </c>
      <c r="H94" s="82">
        <f t="shared" ref="H94:K94" si="100">+H44</f>
        <v>0</v>
      </c>
      <c r="I94" s="150">
        <f t="shared" si="100"/>
        <v>0</v>
      </c>
      <c r="J94" s="150">
        <f t="shared" si="100"/>
        <v>0</v>
      </c>
      <c r="K94" s="150">
        <f t="shared" si="100"/>
        <v>0</v>
      </c>
      <c r="L94" s="150">
        <f t="shared" ref="L94:M94" si="101">+L44</f>
        <v>0</v>
      </c>
      <c r="M94" s="150">
        <f t="shared" si="101"/>
        <v>0</v>
      </c>
      <c r="O94" s="150">
        <v>0</v>
      </c>
    </row>
    <row r="95" spans="1:16" ht="13.8">
      <c r="A95" s="695" t="str">
        <f>+A45</f>
        <v>Emergency ($)</v>
      </c>
      <c r="B95" s="81">
        <f>+B45</f>
        <v>0</v>
      </c>
      <c r="C95" s="81"/>
      <c r="D95" s="692">
        <f t="shared" ref="D95:F95" si="102">+D45</f>
        <v>0</v>
      </c>
      <c r="E95" s="692">
        <f t="shared" si="102"/>
        <v>0</v>
      </c>
      <c r="F95" s="692">
        <f t="shared" si="102"/>
        <v>0</v>
      </c>
      <c r="G95" s="692">
        <f t="shared" ref="G95:K95" si="103">+G45</f>
        <v>0</v>
      </c>
      <c r="H95" s="692">
        <f t="shared" si="103"/>
        <v>0</v>
      </c>
      <c r="I95" s="699">
        <f t="shared" si="103"/>
        <v>0</v>
      </c>
      <c r="J95" s="699">
        <f t="shared" si="103"/>
        <v>0</v>
      </c>
      <c r="K95" s="699">
        <f t="shared" si="103"/>
        <v>0</v>
      </c>
      <c r="L95" s="699">
        <f t="shared" ref="L95:M95" si="104">+L45</f>
        <v>0</v>
      </c>
      <c r="M95" s="699">
        <f t="shared" si="104"/>
        <v>0</v>
      </c>
      <c r="O95" s="699">
        <v>0</v>
      </c>
    </row>
    <row r="96" spans="1:16" ht="13.8">
      <c r="A96" s="694" t="s">
        <v>914</v>
      </c>
      <c r="B96" s="81"/>
      <c r="C96" s="81"/>
      <c r="D96" s="82">
        <f t="shared" ref="D96:K96" si="105">SUM(D94:D95)</f>
        <v>0</v>
      </c>
      <c r="E96" s="82">
        <f t="shared" si="105"/>
        <v>0</v>
      </c>
      <c r="F96" s="82">
        <f t="shared" si="105"/>
        <v>0</v>
      </c>
      <c r="G96" s="82">
        <f t="shared" si="105"/>
        <v>0</v>
      </c>
      <c r="H96" s="82">
        <f t="shared" si="105"/>
        <v>0</v>
      </c>
      <c r="I96" s="150">
        <f t="shared" si="105"/>
        <v>0</v>
      </c>
      <c r="J96" s="150">
        <f t="shared" si="105"/>
        <v>0</v>
      </c>
      <c r="K96" s="150">
        <f t="shared" si="105"/>
        <v>0</v>
      </c>
      <c r="L96" s="150">
        <f t="shared" ref="L96:M96" si="106">SUM(L94:L95)</f>
        <v>0</v>
      </c>
      <c r="M96" s="150">
        <f t="shared" si="106"/>
        <v>0</v>
      </c>
      <c r="O96" s="150">
        <v>0</v>
      </c>
    </row>
    <row r="97" spans="1:16" ht="13.8">
      <c r="A97" s="80"/>
      <c r="B97" s="81"/>
      <c r="C97" s="81"/>
      <c r="D97" s="82"/>
      <c r="E97" s="82"/>
      <c r="F97" s="82"/>
      <c r="G97" s="82"/>
      <c r="H97" s="82"/>
      <c r="I97" s="150"/>
      <c r="J97" s="150"/>
      <c r="K97" s="150"/>
      <c r="L97" s="150"/>
      <c r="M97" s="150"/>
      <c r="O97" s="150"/>
    </row>
    <row r="98" spans="1:16" ht="13.8">
      <c r="A98" s="696" t="s">
        <v>915</v>
      </c>
      <c r="B98" s="81"/>
      <c r="C98" s="81"/>
      <c r="D98" s="82">
        <f>+D74</f>
        <v>0</v>
      </c>
      <c r="E98" s="82">
        <f>+E74</f>
        <v>0</v>
      </c>
      <c r="F98" s="82">
        <f>+F74</f>
        <v>0</v>
      </c>
      <c r="G98" s="82">
        <f>+G48</f>
        <v>0</v>
      </c>
      <c r="H98" s="82">
        <f t="shared" ref="H98:K98" si="107">+H48</f>
        <v>0</v>
      </c>
      <c r="I98" s="150">
        <f t="shared" si="107"/>
        <v>0</v>
      </c>
      <c r="J98" s="150">
        <f t="shared" si="107"/>
        <v>0</v>
      </c>
      <c r="K98" s="150">
        <f t="shared" si="107"/>
        <v>0</v>
      </c>
      <c r="L98" s="150">
        <f t="shared" ref="L98:M98" si="108">+L48</f>
        <v>0</v>
      </c>
      <c r="M98" s="150">
        <f t="shared" si="108"/>
        <v>0</v>
      </c>
      <c r="O98" s="150">
        <v>0</v>
      </c>
    </row>
    <row r="99" spans="1:16" ht="13.8">
      <c r="A99" s="697" t="s">
        <v>916</v>
      </c>
      <c r="B99" s="81"/>
      <c r="C99" s="81"/>
      <c r="D99" s="692">
        <v>0</v>
      </c>
      <c r="E99" s="692">
        <v>0</v>
      </c>
      <c r="F99" s="692">
        <v>0</v>
      </c>
      <c r="G99" s="692">
        <f t="shared" ref="G99:K99" si="109">+G49</f>
        <v>0</v>
      </c>
      <c r="H99" s="692">
        <f t="shared" si="109"/>
        <v>0</v>
      </c>
      <c r="I99" s="699">
        <f t="shared" si="109"/>
        <v>0</v>
      </c>
      <c r="J99" s="699">
        <f t="shared" si="109"/>
        <v>0</v>
      </c>
      <c r="K99" s="699">
        <f t="shared" si="109"/>
        <v>0</v>
      </c>
      <c r="L99" s="699">
        <f t="shared" ref="L99:M99" si="110">+L49</f>
        <v>0</v>
      </c>
      <c r="M99" s="699">
        <f t="shared" si="110"/>
        <v>0</v>
      </c>
      <c r="O99" s="699">
        <v>0</v>
      </c>
    </row>
    <row r="100" spans="1:16" ht="13.8">
      <c r="A100" s="696" t="s">
        <v>917</v>
      </c>
      <c r="B100" s="81"/>
      <c r="C100" s="81"/>
      <c r="D100" s="82">
        <f t="shared" ref="D100:K100" si="111">SUM(D98:D99)</f>
        <v>0</v>
      </c>
      <c r="E100" s="82">
        <f t="shared" si="111"/>
        <v>0</v>
      </c>
      <c r="F100" s="82">
        <f t="shared" si="111"/>
        <v>0</v>
      </c>
      <c r="G100" s="82">
        <f t="shared" si="111"/>
        <v>0</v>
      </c>
      <c r="H100" s="82">
        <f t="shared" si="111"/>
        <v>0</v>
      </c>
      <c r="I100" s="82">
        <f t="shared" si="111"/>
        <v>0</v>
      </c>
      <c r="J100" s="82">
        <f t="shared" si="111"/>
        <v>0</v>
      </c>
      <c r="K100" s="82">
        <f t="shared" si="111"/>
        <v>0</v>
      </c>
      <c r="L100" s="82">
        <f t="shared" ref="L100:M100" si="112">SUM(L98:L99)</f>
        <v>0</v>
      </c>
      <c r="M100" s="82">
        <f t="shared" si="112"/>
        <v>0</v>
      </c>
      <c r="O100" s="82">
        <v>0</v>
      </c>
    </row>
    <row r="101" spans="1:16" ht="14.4" thickBot="1">
      <c r="A101" s="84" t="s">
        <v>280</v>
      </c>
      <c r="B101" s="47"/>
      <c r="C101" s="47"/>
      <c r="D101" s="85">
        <f t="shared" ref="D101:K101" si="113">+D100+D96+D92</f>
        <v>49.718077999999998</v>
      </c>
      <c r="E101" s="85">
        <f t="shared" si="113"/>
        <v>51.090499999999992</v>
      </c>
      <c r="F101" s="85">
        <f t="shared" si="113"/>
        <v>51.703291999999998</v>
      </c>
      <c r="G101" s="85">
        <f t="shared" si="113"/>
        <v>51.505774999999993</v>
      </c>
      <c r="H101" s="85">
        <f t="shared" si="113"/>
        <v>51.223796</v>
      </c>
      <c r="I101" s="85">
        <f t="shared" si="113"/>
        <v>51.355150007802891</v>
      </c>
      <c r="J101" s="85">
        <f t="shared" si="113"/>
        <v>44.615974785674773</v>
      </c>
      <c r="K101" s="85">
        <f t="shared" si="113"/>
        <v>44.52279324474123</v>
      </c>
      <c r="L101" s="85">
        <f t="shared" ref="L101:M101" si="114">+L100+L96+L92</f>
        <v>44.627734073738324</v>
      </c>
      <c r="M101" s="85">
        <f t="shared" si="114"/>
        <v>44.730793003422633</v>
      </c>
      <c r="O101" s="85">
        <v>51.299721555151912</v>
      </c>
      <c r="P101" s="127">
        <f t="shared" ref="P101:P102" si="115">+H101-O101</f>
        <v>-7.5925555151911794E-2</v>
      </c>
    </row>
    <row r="102" spans="1:16" ht="13.8" thickTop="1">
      <c r="A102" s="140" t="s">
        <v>421</v>
      </c>
      <c r="D102" s="141" t="e">
        <f>(D129+D131+D132)/#REF!</f>
        <v>#REF!</v>
      </c>
      <c r="E102" s="141">
        <f t="shared" ref="E102" si="116">(E129+E131+E132)/D135</f>
        <v>-6.788437183898402E-2</v>
      </c>
      <c r="F102" s="141">
        <f>(F129+F131+F132)/E135</f>
        <v>-2.8909654154348E-2</v>
      </c>
      <c r="G102" s="141">
        <f>(G129+G131+G132)/F135</f>
        <v>4.8320767903602072E-3</v>
      </c>
      <c r="H102" s="141">
        <f t="shared" ref="H102:M102" si="117">(H129+H131+H132)/G135</f>
        <v>7.1921426829723717E-3</v>
      </c>
      <c r="I102" s="141">
        <f t="shared" si="117"/>
        <v>-2.797435590793919E-3</v>
      </c>
      <c r="J102" s="141">
        <f t="shared" si="117"/>
        <v>-2.7362015748755406E-3</v>
      </c>
      <c r="K102" s="141">
        <f t="shared" si="117"/>
        <v>2.3224091195532277E-3</v>
      </c>
      <c r="L102" s="141">
        <f t="shared" si="117"/>
        <v>-2.6086686564230324E-3</v>
      </c>
      <c r="M102" s="141">
        <f t="shared" si="117"/>
        <v>-2.5553410188481054E-3</v>
      </c>
      <c r="O102" s="141">
        <v>4.3934897269226458E-3</v>
      </c>
      <c r="P102" s="127">
        <f t="shared" si="115"/>
        <v>2.7986529560497259E-3</v>
      </c>
    </row>
    <row r="103" spans="1:16"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O103" s="141"/>
    </row>
    <row r="106" spans="1:16" ht="13.8">
      <c r="A106" s="1592" t="s">
        <v>317</v>
      </c>
      <c r="B106" s="1593"/>
      <c r="C106" s="1593"/>
      <c r="D106" s="685"/>
      <c r="E106" s="685"/>
      <c r="F106" s="685"/>
      <c r="G106" s="685"/>
      <c r="H106" s="685"/>
      <c r="I106" s="685"/>
      <c r="J106" s="685"/>
      <c r="K106" s="685"/>
      <c r="L106" s="707"/>
      <c r="M106" s="1552"/>
      <c r="O106" s="1483"/>
    </row>
    <row r="107" spans="1:16" ht="13.8">
      <c r="A107" s="56"/>
      <c r="B107" s="56"/>
      <c r="C107" s="56"/>
      <c r="D107" s="56" t="s">
        <v>882</v>
      </c>
      <c r="E107" s="56" t="s">
        <v>883</v>
      </c>
      <c r="F107" s="56" t="s">
        <v>901</v>
      </c>
      <c r="G107" s="56" t="s">
        <v>921</v>
      </c>
      <c r="H107" s="56" t="s">
        <v>1049</v>
      </c>
      <c r="I107" s="64" t="str">
        <f>"Est "&amp;RIGHT(I5,4)</f>
        <v>Est 2021</v>
      </c>
      <c r="J107" s="64" t="str">
        <f>"Est "&amp;RIGHT(J5,4)</f>
        <v>Est 2022</v>
      </c>
      <c r="K107" s="64" t="str">
        <f>"Est "&amp;RIGHT(K5,4)</f>
        <v>Est 2023</v>
      </c>
      <c r="L107" s="64" t="str">
        <f>"Est "&amp;RIGHT(L5,4)</f>
        <v>Est 2024</v>
      </c>
      <c r="M107" s="64" t="str">
        <f>"Est "&amp;RIGHT(M5,4)</f>
        <v>Est 2025</v>
      </c>
      <c r="O107" s="64" t="s">
        <v>1062</v>
      </c>
    </row>
    <row r="108" spans="1:16" ht="13.8">
      <c r="A108" s="700" t="s">
        <v>318</v>
      </c>
      <c r="B108" s="700"/>
      <c r="C108" s="700"/>
      <c r="D108" s="700" t="s">
        <v>443</v>
      </c>
      <c r="E108" s="700" t="s">
        <v>481</v>
      </c>
      <c r="F108" s="700" t="s">
        <v>683</v>
      </c>
      <c r="G108" s="700" t="s">
        <v>924</v>
      </c>
      <c r="H108" s="700" t="s">
        <v>1050</v>
      </c>
      <c r="I108" s="701" t="str">
        <f>+I6</f>
        <v>COLLECT 2022</v>
      </c>
      <c r="J108" s="701" t="str">
        <f>+J6</f>
        <v>COLLECT 2023</v>
      </c>
      <c r="K108" s="701" t="str">
        <f>+K6</f>
        <v>COLLECT 2024</v>
      </c>
      <c r="L108" s="701" t="str">
        <f>+L6</f>
        <v>COLLECT 2025</v>
      </c>
      <c r="M108" s="701" t="str">
        <f>+M6</f>
        <v>COLLECT 2026</v>
      </c>
      <c r="O108" s="701" t="s">
        <v>811</v>
      </c>
    </row>
    <row r="109" spans="1:16" ht="14.4" thickBot="1">
      <c r="A109" s="89" t="s">
        <v>319</v>
      </c>
      <c r="B109" s="89"/>
      <c r="C109" s="89"/>
      <c r="D109" s="89">
        <v>230884110</v>
      </c>
      <c r="E109" s="89">
        <f t="shared" ref="E109:M109" si="118">D120</f>
        <v>233961080</v>
      </c>
      <c r="F109" s="89">
        <f>E120</f>
        <v>241793210</v>
      </c>
      <c r="G109" s="89">
        <f t="shared" si="118"/>
        <v>238729720</v>
      </c>
      <c r="H109" s="89">
        <f t="shared" si="118"/>
        <v>239074860</v>
      </c>
      <c r="I109" s="89">
        <f t="shared" si="118"/>
        <v>281122450</v>
      </c>
      <c r="J109" s="89">
        <f t="shared" si="118"/>
        <v>281781360</v>
      </c>
      <c r="K109" s="89">
        <f t="shared" si="118"/>
        <v>282440270</v>
      </c>
      <c r="L109" s="89">
        <f t="shared" si="118"/>
        <v>285923582.69999999</v>
      </c>
      <c r="M109" s="89">
        <f t="shared" si="118"/>
        <v>286582492.69999999</v>
      </c>
      <c r="O109" s="89">
        <v>239074860</v>
      </c>
      <c r="P109" s="127">
        <f>+H109-O109</f>
        <v>0</v>
      </c>
    </row>
    <row r="110" spans="1:16" ht="14.4" thickBot="1">
      <c r="A110" s="90"/>
      <c r="B110" s="137"/>
      <c r="C110" s="90"/>
      <c r="D110" s="90"/>
      <c r="E110" s="136" t="s">
        <v>321</v>
      </c>
      <c r="F110" s="683" t="s">
        <v>250</v>
      </c>
      <c r="H110" s="137" t="s">
        <v>320</v>
      </c>
      <c r="I110" s="683" t="s">
        <v>250</v>
      </c>
      <c r="J110" s="683" t="s">
        <v>250</v>
      </c>
      <c r="K110" s="136" t="s">
        <v>321</v>
      </c>
      <c r="L110" s="708" t="s">
        <v>250</v>
      </c>
      <c r="M110" s="1553" t="s">
        <v>250</v>
      </c>
      <c r="O110" s="137" t="s">
        <v>320</v>
      </c>
    </row>
    <row r="111" spans="1:16" ht="13.8">
      <c r="A111" s="91" t="s">
        <v>322</v>
      </c>
      <c r="B111" s="91"/>
      <c r="C111" s="91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O111" s="63"/>
    </row>
    <row r="112" spans="1:16" ht="13.8">
      <c r="A112" s="146" t="s">
        <v>323</v>
      </c>
      <c r="B112" s="146"/>
      <c r="C112" s="146"/>
      <c r="D112" s="146">
        <f>-77120+508480</f>
        <v>431360</v>
      </c>
      <c r="E112" s="146">
        <f>-57280+475000</f>
        <v>417720</v>
      </c>
      <c r="F112" s="146">
        <f>-94870+664860</f>
        <v>569990</v>
      </c>
      <c r="G112" s="146">
        <f>-61310+771290</f>
        <v>709980</v>
      </c>
      <c r="H112" s="146">
        <f>-110590+969500</f>
        <v>858910</v>
      </c>
      <c r="I112" s="146">
        <f>+H112</f>
        <v>858910</v>
      </c>
      <c r="J112" s="146">
        <f>+I112</f>
        <v>858910</v>
      </c>
      <c r="K112" s="146">
        <f>+J112</f>
        <v>858910</v>
      </c>
      <c r="L112" s="146">
        <f>+K112</f>
        <v>858910</v>
      </c>
      <c r="M112" s="146">
        <f>+L112</f>
        <v>858910</v>
      </c>
      <c r="O112" s="146">
        <v>500000</v>
      </c>
      <c r="P112" s="127">
        <f t="shared" ref="P112:P118" si="119">+H112-O112</f>
        <v>358910</v>
      </c>
    </row>
    <row r="113" spans="1:16" ht="13.8">
      <c r="A113" s="146" t="s">
        <v>108</v>
      </c>
      <c r="B113" s="146"/>
      <c r="C113" s="146"/>
      <c r="D113" s="146">
        <v>-32090</v>
      </c>
      <c r="E113" s="146">
        <v>0</v>
      </c>
      <c r="F113" s="146">
        <v>25690</v>
      </c>
      <c r="G113" s="146">
        <v>0</v>
      </c>
      <c r="H113" s="146">
        <v>5340</v>
      </c>
      <c r="I113" s="146">
        <v>0</v>
      </c>
      <c r="J113" s="146">
        <v>0</v>
      </c>
      <c r="K113" s="146">
        <v>0</v>
      </c>
      <c r="L113" s="146">
        <v>0</v>
      </c>
      <c r="M113" s="146">
        <v>0</v>
      </c>
      <c r="O113" s="146">
        <v>0</v>
      </c>
      <c r="P113" s="127">
        <f t="shared" si="119"/>
        <v>5340</v>
      </c>
    </row>
    <row r="114" spans="1:16" ht="13.8">
      <c r="A114" s="146" t="s">
        <v>324</v>
      </c>
      <c r="B114" s="146"/>
      <c r="C114" s="146"/>
      <c r="D114" s="146">
        <v>-1052740</v>
      </c>
      <c r="E114" s="146">
        <v>0</v>
      </c>
      <c r="F114" s="146">
        <v>-3301020</v>
      </c>
      <c r="G114" s="146">
        <v>-672230</v>
      </c>
      <c r="H114" s="146">
        <v>-241200</v>
      </c>
      <c r="I114" s="146">
        <v>-100000</v>
      </c>
      <c r="J114" s="146">
        <v>-100000</v>
      </c>
      <c r="K114" s="146">
        <v>-100000</v>
      </c>
      <c r="L114" s="146">
        <v>-100000</v>
      </c>
      <c r="M114" s="146">
        <v>-100000</v>
      </c>
      <c r="O114" s="146">
        <v>-100000</v>
      </c>
      <c r="P114" s="127">
        <f t="shared" si="119"/>
        <v>-141200</v>
      </c>
    </row>
    <row r="115" spans="1:16" ht="13.8">
      <c r="A115" s="92" t="s">
        <v>325</v>
      </c>
      <c r="B115" s="92"/>
      <c r="C115" s="92"/>
      <c r="D115" s="92">
        <v>0</v>
      </c>
      <c r="E115" s="199">
        <f>+E116/E109</f>
        <v>4.7824364633639066E-2</v>
      </c>
      <c r="F115" s="92">
        <f>+F116/F109</f>
        <v>-6.5899286419167846E-4</v>
      </c>
      <c r="G115" s="92">
        <f>+G116/G109</f>
        <v>2.353707783010846E-4</v>
      </c>
      <c r="H115" s="199">
        <f>+H116/G120</f>
        <v>0.17185763488473862</v>
      </c>
      <c r="I115" s="92">
        <v>0</v>
      </c>
      <c r="J115" s="92">
        <v>0</v>
      </c>
      <c r="K115" s="199">
        <v>0.01</v>
      </c>
      <c r="L115" s="92">
        <v>0</v>
      </c>
      <c r="M115" s="92">
        <v>0</v>
      </c>
      <c r="O115" s="199">
        <v>0.03</v>
      </c>
      <c r="P115" s="127">
        <f t="shared" si="119"/>
        <v>0.14185763488473863</v>
      </c>
    </row>
    <row r="116" spans="1:16" ht="13.8">
      <c r="A116" s="146" t="s">
        <v>110</v>
      </c>
      <c r="B116" s="146"/>
      <c r="C116" s="146"/>
      <c r="D116" s="146">
        <v>33560</v>
      </c>
      <c r="E116" s="146">
        <v>11189040</v>
      </c>
      <c r="F116" s="146">
        <v>-159340</v>
      </c>
      <c r="G116" s="146">
        <v>56190</v>
      </c>
      <c r="H116" s="146">
        <v>41086840</v>
      </c>
      <c r="I116" s="146">
        <f>I109*I115</f>
        <v>0</v>
      </c>
      <c r="J116" s="146">
        <f>J109*J115</f>
        <v>0</v>
      </c>
      <c r="K116" s="146">
        <f>K109*K115</f>
        <v>2824402.7</v>
      </c>
      <c r="L116" s="146">
        <f>L109*L115</f>
        <v>0</v>
      </c>
      <c r="M116" s="146">
        <f>M109*M115</f>
        <v>0</v>
      </c>
      <c r="O116" s="146">
        <v>7172245.7999999998</v>
      </c>
      <c r="P116" s="127">
        <f t="shared" si="119"/>
        <v>33914594.200000003</v>
      </c>
    </row>
    <row r="117" spans="1:16" ht="13.8">
      <c r="A117" s="146" t="s">
        <v>109</v>
      </c>
      <c r="B117" s="146"/>
      <c r="C117" s="146"/>
      <c r="D117" s="146">
        <f>8630+150+3688100</f>
        <v>3696880</v>
      </c>
      <c r="E117" s="146">
        <f>-2560-116890+440-3655620</f>
        <v>-3774630</v>
      </c>
      <c r="F117" s="146">
        <f>36460-18250-217020</f>
        <v>-198810</v>
      </c>
      <c r="G117" s="146">
        <f>-6210+205130+52280</f>
        <v>251200</v>
      </c>
      <c r="H117" s="146">
        <f>86820+222950+27930</f>
        <v>337700</v>
      </c>
      <c r="I117" s="146">
        <v>-100000</v>
      </c>
      <c r="J117" s="146">
        <v>-100000</v>
      </c>
      <c r="K117" s="146">
        <v>-100000</v>
      </c>
      <c r="L117" s="146">
        <v>-100000</v>
      </c>
      <c r="M117" s="146">
        <v>-100000</v>
      </c>
      <c r="O117" s="146">
        <v>-100000</v>
      </c>
      <c r="P117" s="127">
        <f t="shared" si="119"/>
        <v>437700</v>
      </c>
    </row>
    <row r="118" spans="1:16" ht="13.8">
      <c r="A118" s="702" t="s">
        <v>829</v>
      </c>
      <c r="B118" s="702"/>
      <c r="C118" s="702"/>
      <c r="D118" s="702">
        <f t="shared" ref="D118:G118" si="120">SUM(D112:D114)+SUM(D116:D117)</f>
        <v>3076970</v>
      </c>
      <c r="E118" s="702">
        <f t="shared" si="120"/>
        <v>7832130</v>
      </c>
      <c r="F118" s="702">
        <f t="shared" si="120"/>
        <v>-3063490</v>
      </c>
      <c r="G118" s="702">
        <f t="shared" si="120"/>
        <v>345140</v>
      </c>
      <c r="H118" s="702">
        <f t="shared" ref="H118:M118" si="121">SUM(H112:H114)+SUM(H116:H117)</f>
        <v>42047590</v>
      </c>
      <c r="I118" s="702">
        <f t="shared" si="121"/>
        <v>658910</v>
      </c>
      <c r="J118" s="702">
        <f t="shared" si="121"/>
        <v>658910</v>
      </c>
      <c r="K118" s="702">
        <f t="shared" si="121"/>
        <v>3483312.7</v>
      </c>
      <c r="L118" s="702">
        <f t="shared" si="121"/>
        <v>658910</v>
      </c>
      <c r="M118" s="702">
        <f t="shared" si="121"/>
        <v>658910</v>
      </c>
      <c r="O118" s="702">
        <v>7472245.7999999998</v>
      </c>
      <c r="P118" s="127">
        <f t="shared" si="119"/>
        <v>34575344.200000003</v>
      </c>
    </row>
    <row r="119" spans="1:16" ht="13.8">
      <c r="A119" s="93"/>
      <c r="B119" s="93"/>
      <c r="C119" s="93"/>
      <c r="D119" s="142"/>
      <c r="E119" s="142"/>
      <c r="F119" s="72"/>
      <c r="G119" s="142"/>
      <c r="H119" s="142"/>
      <c r="I119" s="142"/>
      <c r="J119" s="142"/>
      <c r="K119" s="142"/>
      <c r="L119" s="142"/>
      <c r="M119" s="142"/>
      <c r="O119" s="142"/>
    </row>
    <row r="120" spans="1:16" ht="14.4" thickBot="1">
      <c r="A120" s="94" t="s">
        <v>326</v>
      </c>
      <c r="B120" s="94"/>
      <c r="C120" s="94"/>
      <c r="D120" s="94">
        <f t="shared" ref="D120:G120" si="122">D109+D118</f>
        <v>233961080</v>
      </c>
      <c r="E120" s="94">
        <f t="shared" si="122"/>
        <v>241793210</v>
      </c>
      <c r="F120" s="94">
        <f t="shared" si="122"/>
        <v>238729720</v>
      </c>
      <c r="G120" s="94">
        <f t="shared" si="122"/>
        <v>239074860</v>
      </c>
      <c r="H120" s="94">
        <f t="shared" ref="H120:M120" si="123">H109+H118</f>
        <v>281122450</v>
      </c>
      <c r="I120" s="94">
        <f t="shared" si="123"/>
        <v>281781360</v>
      </c>
      <c r="J120" s="94">
        <f t="shared" si="123"/>
        <v>282440270</v>
      </c>
      <c r="K120" s="94">
        <f t="shared" si="123"/>
        <v>285923582.69999999</v>
      </c>
      <c r="L120" s="94">
        <f t="shared" si="123"/>
        <v>286582492.69999999</v>
      </c>
      <c r="M120" s="94">
        <f t="shared" si="123"/>
        <v>287241402.69999999</v>
      </c>
      <c r="O120" s="94">
        <v>246547105.80000001</v>
      </c>
      <c r="P120" s="127">
        <f t="shared" ref="P120:P121" si="124">+H120-O120</f>
        <v>34575344.199999988</v>
      </c>
    </row>
    <row r="121" spans="1:16" ht="14.4" thickTop="1">
      <c r="A121" s="1474" t="s">
        <v>1058</v>
      </c>
      <c r="B121" s="1475"/>
      <c r="C121" s="1476"/>
      <c r="D121" s="1477"/>
      <c r="E121" s="1478">
        <f>(E120-D120)/D120</f>
        <v>3.3476208948941419E-2</v>
      </c>
      <c r="F121" s="1478">
        <f t="shared" ref="F121:M121" si="125">(F120-E120)/E120</f>
        <v>-1.2669876048214918E-2</v>
      </c>
      <c r="G121" s="1478">
        <f t="shared" si="125"/>
        <v>1.4457353696892034E-3</v>
      </c>
      <c r="H121" s="1478">
        <f t="shared" si="125"/>
        <v>0.175876250643836</v>
      </c>
      <c r="I121" s="1478">
        <f t="shared" si="125"/>
        <v>2.3438540749769364E-3</v>
      </c>
      <c r="J121" s="1478">
        <f t="shared" si="125"/>
        <v>2.3383732692609615E-3</v>
      </c>
      <c r="K121" s="1478">
        <f t="shared" si="125"/>
        <v>1.2332918036085959E-2</v>
      </c>
      <c r="L121" s="1478">
        <f t="shared" si="125"/>
        <v>2.3044968651338882E-3</v>
      </c>
      <c r="M121" s="1478">
        <f t="shared" si="125"/>
        <v>2.2991983696985969E-3</v>
      </c>
      <c r="O121" s="595">
        <v>2.0913951387444086E-3</v>
      </c>
      <c r="P121" s="127">
        <f t="shared" si="124"/>
        <v>0.1737848555050916</v>
      </c>
    </row>
    <row r="122" spans="1:16" ht="13.8">
      <c r="A122" s="55"/>
      <c r="B122" s="164"/>
      <c r="C122" s="55"/>
      <c r="D122" s="165"/>
      <c r="E122" s="595">
        <f>+E112/D120</f>
        <v>1.7854251655873704E-3</v>
      </c>
      <c r="F122" s="142"/>
      <c r="G122" s="142"/>
      <c r="H122" s="595">
        <f>+H112/G120</f>
        <v>3.5926403972379195E-3</v>
      </c>
      <c r="I122" s="142"/>
      <c r="J122" s="142"/>
      <c r="K122" s="142"/>
      <c r="L122" s="142"/>
      <c r="M122" s="142"/>
      <c r="O122" s="142"/>
    </row>
    <row r="123" spans="1:16" ht="13.8">
      <c r="A123" s="95" t="s">
        <v>327</v>
      </c>
      <c r="B123" s="164"/>
      <c r="C123" s="95"/>
      <c r="D123" s="142"/>
      <c r="E123" s="142"/>
      <c r="F123" s="142"/>
      <c r="G123" s="165"/>
      <c r="H123" s="142"/>
      <c r="I123" s="142"/>
      <c r="J123" s="142"/>
      <c r="K123" s="142"/>
      <c r="L123" s="142"/>
      <c r="M123" s="142"/>
      <c r="O123" s="142"/>
    </row>
    <row r="124" spans="1:16" ht="13.8">
      <c r="A124" s="96" t="s">
        <v>328</v>
      </c>
      <c r="B124" s="96"/>
      <c r="C124" s="96"/>
      <c r="D124" s="96">
        <v>65405320</v>
      </c>
      <c r="E124" s="96">
        <f t="shared" ref="E124:M124" si="126">D135</f>
        <v>71397140</v>
      </c>
      <c r="F124" s="96">
        <f>E135</f>
        <v>68473320</v>
      </c>
      <c r="G124" s="96">
        <f t="shared" si="126"/>
        <v>67320950</v>
      </c>
      <c r="H124" s="96">
        <f t="shared" si="126"/>
        <v>68282850</v>
      </c>
      <c r="I124" s="96">
        <f t="shared" si="126"/>
        <v>71494050</v>
      </c>
      <c r="J124" s="96">
        <f t="shared" si="126"/>
        <v>73094030</v>
      </c>
      <c r="K124" s="96">
        <f t="shared" si="126"/>
        <v>74694010</v>
      </c>
      <c r="L124" s="96">
        <f t="shared" si="126"/>
        <v>76667460.049999997</v>
      </c>
      <c r="M124" s="96">
        <f t="shared" si="126"/>
        <v>78267440.049999997</v>
      </c>
      <c r="O124" s="96">
        <v>68282850</v>
      </c>
      <c r="P124" s="127">
        <f t="shared" ref="P124:P133" si="127">+H124-O124</f>
        <v>0</v>
      </c>
    </row>
    <row r="125" spans="1:16" ht="13.8">
      <c r="A125" s="95"/>
      <c r="B125" s="95"/>
      <c r="C125" s="95"/>
      <c r="D125" s="142"/>
      <c r="E125" s="705">
        <f>+E116+E131</f>
        <v>6392920</v>
      </c>
      <c r="F125" s="142"/>
      <c r="G125" s="142"/>
      <c r="H125" s="705">
        <f>+H116+H131</f>
        <v>41737710</v>
      </c>
      <c r="I125" s="142"/>
      <c r="J125" s="142"/>
      <c r="K125" s="705">
        <f>+K116+K131</f>
        <v>3197872.75</v>
      </c>
      <c r="L125" s="142"/>
      <c r="M125" s="142"/>
      <c r="O125" s="705">
        <v>7672245.7999999998</v>
      </c>
      <c r="P125" s="127">
        <f t="shared" si="127"/>
        <v>34065464.200000003</v>
      </c>
    </row>
    <row r="126" spans="1:16" ht="13.8">
      <c r="A126" s="91" t="s">
        <v>322</v>
      </c>
      <c r="B126" s="91"/>
      <c r="C126" s="91"/>
      <c r="D126" s="63"/>
      <c r="E126" s="1002">
        <f>+E125/E136</f>
        <v>2.0604607271045319E-2</v>
      </c>
      <c r="F126" s="63"/>
      <c r="G126" s="63"/>
      <c r="H126" s="1002">
        <f>+H125/G136</f>
        <v>0.13579522700113819</v>
      </c>
      <c r="I126" s="63"/>
      <c r="J126" s="63"/>
      <c r="K126" s="1002">
        <f>+K125/J136</f>
        <v>8.9542587454780314E-3</v>
      </c>
      <c r="L126" s="63"/>
      <c r="M126" s="63"/>
      <c r="O126" s="1002">
        <v>2.4288485733668066E-2</v>
      </c>
      <c r="P126" s="127">
        <f t="shared" si="127"/>
        <v>0.11150674126747012</v>
      </c>
    </row>
    <row r="127" spans="1:16" ht="13.8">
      <c r="A127" s="146" t="s">
        <v>323</v>
      </c>
      <c r="B127" s="146"/>
      <c r="C127" s="138"/>
      <c r="D127" s="149">
        <f>-60870+6060980</f>
        <v>6000110</v>
      </c>
      <c r="E127" s="149">
        <f>-84080+2169610</f>
        <v>2085530</v>
      </c>
      <c r="F127" s="149">
        <f>-5260+765390</f>
        <v>760130</v>
      </c>
      <c r="G127" s="149">
        <f>-502840+1841930</f>
        <v>1339090</v>
      </c>
      <c r="H127" s="149">
        <f>-7640+1807620</f>
        <v>1799980</v>
      </c>
      <c r="I127" s="149">
        <f>+H127</f>
        <v>1799980</v>
      </c>
      <c r="J127" s="149">
        <f>+I127</f>
        <v>1799980</v>
      </c>
      <c r="K127" s="149">
        <f>+J127</f>
        <v>1799980</v>
      </c>
      <c r="L127" s="149">
        <f>+K127</f>
        <v>1799980</v>
      </c>
      <c r="M127" s="149">
        <f>+L127</f>
        <v>1799980</v>
      </c>
      <c r="O127" s="149">
        <v>750000</v>
      </c>
      <c r="P127" s="127">
        <f t="shared" si="127"/>
        <v>1049980</v>
      </c>
    </row>
    <row r="128" spans="1:16" ht="13.8">
      <c r="A128" s="146" t="s">
        <v>108</v>
      </c>
      <c r="B128" s="146"/>
      <c r="C128" s="138"/>
      <c r="D128" s="149">
        <v>158250</v>
      </c>
      <c r="E128" s="149">
        <v>-162600</v>
      </c>
      <c r="F128" s="149">
        <v>67040</v>
      </c>
      <c r="G128" s="149">
        <v>-702490</v>
      </c>
      <c r="H128" s="149">
        <v>920120</v>
      </c>
      <c r="I128" s="149">
        <v>0</v>
      </c>
      <c r="J128" s="149">
        <v>0</v>
      </c>
      <c r="K128" s="149">
        <v>0</v>
      </c>
      <c r="L128" s="149">
        <v>0</v>
      </c>
      <c r="M128" s="149">
        <v>0</v>
      </c>
      <c r="O128" s="149">
        <v>0</v>
      </c>
      <c r="P128" s="127">
        <f t="shared" si="127"/>
        <v>920120</v>
      </c>
    </row>
    <row r="129" spans="1:16" ht="13.8">
      <c r="A129" s="146" t="s">
        <v>324</v>
      </c>
      <c r="B129" s="146"/>
      <c r="C129" s="138"/>
      <c r="D129" s="149">
        <v>-258320</v>
      </c>
      <c r="E129" s="149">
        <v>0</v>
      </c>
      <c r="F129" s="149">
        <v>-1353940</v>
      </c>
      <c r="G129" s="149">
        <v>-150730</v>
      </c>
      <c r="H129" s="149">
        <v>-239160</v>
      </c>
      <c r="I129" s="149">
        <v>-100000</v>
      </c>
      <c r="J129" s="149">
        <v>-100000</v>
      </c>
      <c r="K129" s="149">
        <v>-100000</v>
      </c>
      <c r="L129" s="149">
        <v>-100000</v>
      </c>
      <c r="M129" s="149">
        <v>-100000</v>
      </c>
      <c r="O129" s="149">
        <v>-100000</v>
      </c>
      <c r="P129" s="127">
        <f t="shared" si="127"/>
        <v>-139160</v>
      </c>
    </row>
    <row r="130" spans="1:16" ht="13.8">
      <c r="A130" s="92" t="s">
        <v>325</v>
      </c>
      <c r="B130" s="92"/>
      <c r="C130" s="92"/>
      <c r="D130" s="92">
        <v>0</v>
      </c>
      <c r="E130" s="199">
        <f>+E131/D135</f>
        <v>-6.7175239792518299E-2</v>
      </c>
      <c r="F130" s="92">
        <v>0</v>
      </c>
      <c r="G130" s="92">
        <v>0</v>
      </c>
      <c r="H130" s="199">
        <f>+H131/G135</f>
        <v>9.5319688618738085E-3</v>
      </c>
      <c r="I130" s="92">
        <v>0</v>
      </c>
      <c r="J130" s="92">
        <v>0</v>
      </c>
      <c r="K130" s="199">
        <v>5.0000000000000001E-3</v>
      </c>
      <c r="L130" s="92">
        <v>0</v>
      </c>
      <c r="M130" s="92">
        <v>0</v>
      </c>
      <c r="O130" s="199">
        <v>7.3224828782044102E-3</v>
      </c>
      <c r="P130" s="127">
        <f t="shared" si="127"/>
        <v>2.2094859836693983E-3</v>
      </c>
    </row>
    <row r="131" spans="1:16" ht="13.8">
      <c r="A131" s="146" t="s">
        <v>110</v>
      </c>
      <c r="B131" s="146"/>
      <c r="C131" s="146"/>
      <c r="D131" s="146">
        <v>115510</v>
      </c>
      <c r="E131" s="146">
        <v>-4796120</v>
      </c>
      <c r="F131" s="146">
        <v>-647600</v>
      </c>
      <c r="G131" s="146">
        <v>428790</v>
      </c>
      <c r="H131" s="146">
        <v>650870</v>
      </c>
      <c r="I131" s="146">
        <f>I124*I130</f>
        <v>0</v>
      </c>
      <c r="J131" s="146">
        <f>J124*J130</f>
        <v>0</v>
      </c>
      <c r="K131" s="146">
        <f>K124*K130</f>
        <v>373470.05</v>
      </c>
      <c r="L131" s="146">
        <f>L124*L130</f>
        <v>0</v>
      </c>
      <c r="M131" s="146">
        <f>M124*M130</f>
        <v>0</v>
      </c>
      <c r="O131" s="146">
        <v>500000</v>
      </c>
      <c r="P131" s="127">
        <f t="shared" si="127"/>
        <v>150870</v>
      </c>
    </row>
    <row r="132" spans="1:16" ht="13.8">
      <c r="A132" s="146" t="s">
        <v>109</v>
      </c>
      <c r="B132" s="146"/>
      <c r="C132" s="146"/>
      <c r="D132" s="146">
        <v>-23730</v>
      </c>
      <c r="E132" s="146">
        <f>2560-53190</f>
        <v>-50630</v>
      </c>
      <c r="F132" s="146">
        <f>-36460+58460</f>
        <v>22000</v>
      </c>
      <c r="G132" s="146">
        <f>6210+41030</f>
        <v>47240</v>
      </c>
      <c r="H132" s="146">
        <f>-86820-20650+186860</f>
        <v>79390</v>
      </c>
      <c r="I132" s="146">
        <v>-100000</v>
      </c>
      <c r="J132" s="146">
        <v>-100000</v>
      </c>
      <c r="K132" s="146">
        <v>-100000</v>
      </c>
      <c r="L132" s="146">
        <v>-100000</v>
      </c>
      <c r="M132" s="146">
        <v>-100000</v>
      </c>
      <c r="O132" s="146">
        <v>-100000</v>
      </c>
      <c r="P132" s="127">
        <f t="shared" si="127"/>
        <v>179390</v>
      </c>
    </row>
    <row r="133" spans="1:16" ht="13.8">
      <c r="A133" s="702" t="s">
        <v>830</v>
      </c>
      <c r="B133" s="702"/>
      <c r="C133" s="702"/>
      <c r="D133" s="702">
        <f t="shared" ref="D133:G133" si="128">SUM(D127:D129)+SUM(D131:D132)</f>
        <v>5991820</v>
      </c>
      <c r="E133" s="702">
        <f t="shared" si="128"/>
        <v>-2923820</v>
      </c>
      <c r="F133" s="702">
        <f t="shared" si="128"/>
        <v>-1152370</v>
      </c>
      <c r="G133" s="702">
        <f t="shared" si="128"/>
        <v>961900</v>
      </c>
      <c r="H133" s="702">
        <f t="shared" ref="H133:M133" si="129">SUM(H127:H129)+SUM(H131:H132)</f>
        <v>3211200</v>
      </c>
      <c r="I133" s="702">
        <f t="shared" si="129"/>
        <v>1599980</v>
      </c>
      <c r="J133" s="702">
        <f t="shared" si="129"/>
        <v>1599980</v>
      </c>
      <c r="K133" s="702">
        <f t="shared" si="129"/>
        <v>1973450.05</v>
      </c>
      <c r="L133" s="702">
        <f t="shared" si="129"/>
        <v>1599980</v>
      </c>
      <c r="M133" s="702">
        <f t="shared" si="129"/>
        <v>1599980</v>
      </c>
      <c r="O133" s="702">
        <v>1050000</v>
      </c>
      <c r="P133" s="127">
        <f t="shared" si="127"/>
        <v>2161200</v>
      </c>
    </row>
    <row r="134" spans="1:16" ht="13.8">
      <c r="A134" s="93"/>
      <c r="B134" s="93"/>
      <c r="C134" s="93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O134" s="142"/>
    </row>
    <row r="135" spans="1:16" ht="14.4" thickBot="1">
      <c r="A135" s="94" t="s">
        <v>329</v>
      </c>
      <c r="B135" s="94"/>
      <c r="C135" s="94"/>
      <c r="D135" s="94">
        <f t="shared" ref="D135:G135" si="130">D124+D133</f>
        <v>71397140</v>
      </c>
      <c r="E135" s="94">
        <f t="shared" si="130"/>
        <v>68473320</v>
      </c>
      <c r="F135" s="94">
        <f t="shared" si="130"/>
        <v>67320950</v>
      </c>
      <c r="G135" s="94">
        <f t="shared" si="130"/>
        <v>68282850</v>
      </c>
      <c r="H135" s="94">
        <f t="shared" ref="H135:M135" si="131">H124+H133</f>
        <v>71494050</v>
      </c>
      <c r="I135" s="94">
        <f t="shared" si="131"/>
        <v>73094030</v>
      </c>
      <c r="J135" s="94">
        <f t="shared" si="131"/>
        <v>74694010</v>
      </c>
      <c r="K135" s="94">
        <f t="shared" si="131"/>
        <v>76667460.049999997</v>
      </c>
      <c r="L135" s="94">
        <f t="shared" si="131"/>
        <v>78267440.049999997</v>
      </c>
      <c r="M135" s="94">
        <f t="shared" si="131"/>
        <v>79867420.049999997</v>
      </c>
      <c r="O135" s="94">
        <v>69332850</v>
      </c>
      <c r="P135" s="127">
        <f t="shared" ref="P135:P136" si="132">+H135-O135</f>
        <v>2161200</v>
      </c>
    </row>
    <row r="136" spans="1:16" ht="15" thickTop="1" thickBot="1">
      <c r="A136" s="97" t="s">
        <v>330</v>
      </c>
      <c r="B136" s="97"/>
      <c r="C136" s="97"/>
      <c r="D136" s="97">
        <f t="shared" ref="D136:G136" si="133">D120+D135</f>
        <v>305358220</v>
      </c>
      <c r="E136" s="97">
        <f t="shared" si="133"/>
        <v>310266530</v>
      </c>
      <c r="F136" s="97">
        <f t="shared" si="133"/>
        <v>306050670</v>
      </c>
      <c r="G136" s="97">
        <f t="shared" si="133"/>
        <v>307357710</v>
      </c>
      <c r="H136" s="97">
        <f t="shared" ref="H136:M136" si="134">H120+H135</f>
        <v>352616500</v>
      </c>
      <c r="I136" s="97">
        <f t="shared" si="134"/>
        <v>354875390</v>
      </c>
      <c r="J136" s="97">
        <f t="shared" si="134"/>
        <v>357134280</v>
      </c>
      <c r="K136" s="97">
        <f t="shared" si="134"/>
        <v>362591042.75</v>
      </c>
      <c r="L136" s="97">
        <f t="shared" si="134"/>
        <v>364849932.75</v>
      </c>
      <c r="M136" s="97">
        <f t="shared" si="134"/>
        <v>367108822.75</v>
      </c>
      <c r="O136" s="97">
        <v>315879955.80000001</v>
      </c>
      <c r="P136" s="127">
        <f t="shared" si="132"/>
        <v>36736544.199999988</v>
      </c>
    </row>
    <row r="137" spans="1:16" ht="14.4" thickTop="1">
      <c r="A137" s="1474" t="s">
        <v>1056</v>
      </c>
      <c r="B137" s="1475"/>
      <c r="C137" s="1476"/>
      <c r="D137" s="1477"/>
      <c r="E137" s="1478">
        <f>(E135-D135)/D135</f>
        <v>-4.0951500298191217E-2</v>
      </c>
      <c r="F137" s="1478">
        <f t="shared" ref="F137:M138" si="135">(F135-E135)/E135</f>
        <v>-1.6829474604123183E-2</v>
      </c>
      <c r="G137" s="1478">
        <f t="shared" si="135"/>
        <v>1.4288271333069423E-2</v>
      </c>
      <c r="H137" s="1478">
        <f t="shared" si="135"/>
        <v>4.7027914036980006E-2</v>
      </c>
      <c r="I137" s="1478">
        <f t="shared" si="135"/>
        <v>2.2379204982792274E-2</v>
      </c>
      <c r="J137" s="1478">
        <f t="shared" si="135"/>
        <v>2.1889338978846835E-2</v>
      </c>
      <c r="K137" s="1478">
        <f t="shared" si="135"/>
        <v>2.6420459284486091E-2</v>
      </c>
      <c r="L137" s="1478">
        <f t="shared" si="135"/>
        <v>2.0869088384518616E-2</v>
      </c>
      <c r="M137" s="1478">
        <f t="shared" si="135"/>
        <v>2.0442472616682958E-2</v>
      </c>
      <c r="O137" s="142"/>
    </row>
    <row r="138" spans="1:16" ht="13.8">
      <c r="A138" s="1474" t="s">
        <v>1057</v>
      </c>
      <c r="B138" s="1475"/>
      <c r="C138" s="1476"/>
      <c r="D138" s="1477"/>
      <c r="E138" s="1478">
        <f>(E136-D136)/D136</f>
        <v>1.6073940960226976E-2</v>
      </c>
      <c r="F138" s="1478">
        <f t="shared" si="135"/>
        <v>-1.358786589065859E-2</v>
      </c>
      <c r="G138" s="1478">
        <f t="shared" si="135"/>
        <v>4.2706653770762859E-3</v>
      </c>
      <c r="H138" s="1478">
        <f t="shared" si="135"/>
        <v>0.1472511947073005</v>
      </c>
      <c r="I138" s="1478">
        <f t="shared" si="135"/>
        <v>6.4060813943760432E-3</v>
      </c>
      <c r="J138" s="1478">
        <f t="shared" si="135"/>
        <v>6.365304734149077E-3</v>
      </c>
      <c r="K138" s="1478">
        <f t="shared" si="135"/>
        <v>1.5279302647732388E-2</v>
      </c>
      <c r="L138" s="1478">
        <f t="shared" si="135"/>
        <v>6.2298560462715679E-3</v>
      </c>
      <c r="M138" s="1478">
        <f t="shared" si="135"/>
        <v>6.1912852305438726E-3</v>
      </c>
      <c r="O138" s="706"/>
    </row>
    <row r="139" spans="1:16" ht="13.8">
      <c r="A139" s="93"/>
      <c r="B139" s="55"/>
      <c r="C139" s="55"/>
      <c r="D139" s="595"/>
      <c r="E139" s="142"/>
      <c r="F139" s="142"/>
      <c r="G139" s="705"/>
      <c r="H139" s="1519"/>
      <c r="I139" s="706"/>
      <c r="J139" s="142"/>
      <c r="K139" s="142"/>
      <c r="L139" s="142"/>
      <c r="M139" s="142"/>
      <c r="O139" s="706"/>
    </row>
    <row r="140" spans="1:16" ht="13.8">
      <c r="A140" s="93" t="s">
        <v>331</v>
      </c>
      <c r="B140" s="93"/>
      <c r="C140" s="93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O140" s="142"/>
    </row>
    <row r="141" spans="1:16" ht="13.8">
      <c r="A141" s="98" t="s">
        <v>332</v>
      </c>
      <c r="B141" s="98"/>
      <c r="C141" s="98"/>
      <c r="D141" s="98">
        <v>16429510</v>
      </c>
      <c r="E141" s="98">
        <f t="shared" ref="E141:M141" si="136">D141+D142+D143</f>
        <v>16429510</v>
      </c>
      <c r="F141" s="98">
        <f>E141+E142+E143</f>
        <v>19347440</v>
      </c>
      <c r="G141" s="98">
        <f t="shared" si="136"/>
        <v>21748740</v>
      </c>
      <c r="H141" s="98">
        <f t="shared" si="136"/>
        <v>26641920</v>
      </c>
      <c r="I141" s="98">
        <f t="shared" si="136"/>
        <v>28007650</v>
      </c>
      <c r="J141" s="98">
        <f t="shared" si="136"/>
        <v>29373380</v>
      </c>
      <c r="K141" s="98">
        <f t="shared" si="136"/>
        <v>30739110</v>
      </c>
      <c r="L141" s="98">
        <f t="shared" si="136"/>
        <v>32104840</v>
      </c>
      <c r="M141" s="98">
        <f t="shared" si="136"/>
        <v>33470570</v>
      </c>
      <c r="O141" s="98">
        <v>26641920</v>
      </c>
      <c r="P141" s="127">
        <f t="shared" ref="P141:P146" si="137">+H141-O141</f>
        <v>0</v>
      </c>
    </row>
    <row r="142" spans="1:16" ht="13.8">
      <c r="A142" s="99" t="s">
        <v>111</v>
      </c>
      <c r="B142" s="99"/>
      <c r="C142" s="99"/>
      <c r="D142" s="99">
        <v>0</v>
      </c>
      <c r="E142" s="99">
        <v>0</v>
      </c>
      <c r="F142" s="99">
        <v>0</v>
      </c>
      <c r="G142" s="99">
        <v>0</v>
      </c>
      <c r="H142" s="99">
        <v>0</v>
      </c>
      <c r="I142" s="99">
        <v>0</v>
      </c>
      <c r="J142" s="99">
        <v>0</v>
      </c>
      <c r="K142" s="99">
        <v>0</v>
      </c>
      <c r="L142" s="99">
        <v>0</v>
      </c>
      <c r="M142" s="99">
        <v>0</v>
      </c>
      <c r="O142" s="99">
        <v>0</v>
      </c>
      <c r="P142" s="127">
        <f t="shared" si="137"/>
        <v>0</v>
      </c>
    </row>
    <row r="143" spans="1:16" ht="13.8">
      <c r="A143" s="99" t="s">
        <v>333</v>
      </c>
      <c r="B143" s="99"/>
      <c r="C143" s="99"/>
      <c r="D143" s="99">
        <v>0</v>
      </c>
      <c r="E143" s="99">
        <v>2917930</v>
      </c>
      <c r="F143" s="99">
        <v>2401300</v>
      </c>
      <c r="G143" s="99">
        <v>4893180</v>
      </c>
      <c r="H143" s="99">
        <f>28007650-26641920</f>
        <v>1365730</v>
      </c>
      <c r="I143" s="99">
        <f>+H143</f>
        <v>1365730</v>
      </c>
      <c r="J143" s="99">
        <f t="shared" ref="J143:M143" si="138">+I143</f>
        <v>1365730</v>
      </c>
      <c r="K143" s="99">
        <f t="shared" si="138"/>
        <v>1365730</v>
      </c>
      <c r="L143" s="99">
        <f t="shared" si="138"/>
        <v>1365730</v>
      </c>
      <c r="M143" s="99">
        <f t="shared" si="138"/>
        <v>1365730</v>
      </c>
      <c r="O143" s="99">
        <v>500000</v>
      </c>
      <c r="P143" s="127">
        <f t="shared" si="137"/>
        <v>865730</v>
      </c>
    </row>
    <row r="144" spans="1:16" ht="13.8">
      <c r="A144" s="99" t="s">
        <v>334</v>
      </c>
      <c r="B144" s="99"/>
      <c r="C144" s="99"/>
      <c r="D144" s="99">
        <v>0</v>
      </c>
      <c r="E144" s="99">
        <v>0</v>
      </c>
      <c r="F144" s="99">
        <v>0</v>
      </c>
      <c r="G144" s="99">
        <v>0</v>
      </c>
      <c r="H144" s="99">
        <v>0</v>
      </c>
      <c r="I144" s="99">
        <v>0</v>
      </c>
      <c r="J144" s="99">
        <v>0</v>
      </c>
      <c r="K144" s="99">
        <v>0</v>
      </c>
      <c r="L144" s="99">
        <v>0</v>
      </c>
      <c r="M144" s="99">
        <v>0</v>
      </c>
      <c r="O144" s="99">
        <v>0</v>
      </c>
      <c r="P144" s="127">
        <f t="shared" si="137"/>
        <v>0</v>
      </c>
    </row>
    <row r="145" spans="1:21" ht="14.4" thickBot="1">
      <c r="A145" s="94" t="s">
        <v>335</v>
      </c>
      <c r="B145" s="94"/>
      <c r="C145" s="94"/>
      <c r="D145" s="94">
        <f>+D141+D143</f>
        <v>16429510</v>
      </c>
      <c r="E145" s="94">
        <f t="shared" ref="E145:G145" si="139">E141+E142++E143+E144</f>
        <v>19347440</v>
      </c>
      <c r="F145" s="94">
        <f t="shared" si="139"/>
        <v>21748740</v>
      </c>
      <c r="G145" s="94">
        <f t="shared" si="139"/>
        <v>26641920</v>
      </c>
      <c r="H145" s="94">
        <f t="shared" ref="H145:M145" si="140">H141+H142++H143+H144</f>
        <v>28007650</v>
      </c>
      <c r="I145" s="94">
        <f t="shared" si="140"/>
        <v>29373380</v>
      </c>
      <c r="J145" s="94">
        <f t="shared" si="140"/>
        <v>30739110</v>
      </c>
      <c r="K145" s="94">
        <f t="shared" si="140"/>
        <v>32104840</v>
      </c>
      <c r="L145" s="94">
        <f t="shared" si="140"/>
        <v>33470570</v>
      </c>
      <c r="M145" s="94">
        <f t="shared" si="140"/>
        <v>34836300</v>
      </c>
      <c r="O145" s="94">
        <v>27141920</v>
      </c>
      <c r="P145" s="127">
        <f t="shared" si="137"/>
        <v>865730</v>
      </c>
    </row>
    <row r="146" spans="1:21" ht="15" thickTop="1" thickBot="1">
      <c r="A146" s="100" t="s">
        <v>336</v>
      </c>
      <c r="B146" s="100"/>
      <c r="C146" s="100"/>
      <c r="D146" s="100">
        <f t="shared" ref="D146:H146" si="141">D136+D145</f>
        <v>321787730</v>
      </c>
      <c r="E146" s="100">
        <f t="shared" si="141"/>
        <v>329613970</v>
      </c>
      <c r="F146" s="100">
        <f t="shared" si="141"/>
        <v>327799410</v>
      </c>
      <c r="G146" s="100">
        <f t="shared" si="141"/>
        <v>333999630</v>
      </c>
      <c r="H146" s="100">
        <f t="shared" si="141"/>
        <v>380624150</v>
      </c>
      <c r="I146" s="147">
        <f>I136+I145</f>
        <v>384248770</v>
      </c>
      <c r="J146" s="147">
        <f>J136+J145</f>
        <v>387873390</v>
      </c>
      <c r="K146" s="147">
        <f>K136+K145</f>
        <v>394695882.75</v>
      </c>
      <c r="L146" s="147">
        <f>L136+L145</f>
        <v>398320502.75</v>
      </c>
      <c r="M146" s="147">
        <f>M136+M145</f>
        <v>401945122.75</v>
      </c>
      <c r="O146" s="147">
        <v>343021875.80000001</v>
      </c>
      <c r="P146" s="127">
        <f t="shared" si="137"/>
        <v>37602274.199999988</v>
      </c>
    </row>
    <row r="147" spans="1:21" ht="15" thickTop="1" thickBot="1">
      <c r="A147" s="1471" t="s">
        <v>1055</v>
      </c>
      <c r="B147" s="1472"/>
      <c r="C147" s="1472"/>
      <c r="D147" s="1473"/>
      <c r="E147" s="1473">
        <f t="shared" ref="E147:M147" si="142">-(D146-E146)/D146</f>
        <v>2.4321126228150466E-2</v>
      </c>
      <c r="F147" s="1473">
        <f t="shared" si="142"/>
        <v>-5.5051064734907926E-3</v>
      </c>
      <c r="G147" s="1473">
        <f t="shared" si="142"/>
        <v>1.8914677119156498E-2</v>
      </c>
      <c r="H147" s="1473">
        <f t="shared" si="142"/>
        <v>0.13959452589812749</v>
      </c>
      <c r="I147" s="1473">
        <f t="shared" si="142"/>
        <v>9.522832431941063E-3</v>
      </c>
      <c r="J147" s="1473">
        <f t="shared" si="142"/>
        <v>9.433003520089342E-3</v>
      </c>
      <c r="K147" s="1473">
        <f t="shared" si="142"/>
        <v>1.7589483903497478E-2</v>
      </c>
      <c r="L147" s="1473">
        <f t="shared" si="142"/>
        <v>9.1833235622977884E-3</v>
      </c>
      <c r="M147" s="1473">
        <f t="shared" si="142"/>
        <v>9.0997575444288371E-3</v>
      </c>
      <c r="O147" s="1488"/>
    </row>
    <row r="148" spans="1:21" ht="13.8">
      <c r="A148" s="142"/>
      <c r="B148" s="68" t="s">
        <v>337</v>
      </c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O148" s="142"/>
    </row>
    <row r="149" spans="1:21" ht="13.8">
      <c r="A149" s="101" t="s">
        <v>338</v>
      </c>
      <c r="B149" s="142"/>
      <c r="C149" s="142"/>
      <c r="D149" s="139" t="s">
        <v>444</v>
      </c>
      <c r="E149" s="139" t="s">
        <v>481</v>
      </c>
      <c r="F149" s="139" t="s">
        <v>683</v>
      </c>
      <c r="G149" s="139" t="str">
        <f t="shared" ref="G149:L149" si="143">+G108</f>
        <v>COLLECT2020</v>
      </c>
      <c r="H149" s="139" t="str">
        <f t="shared" si="143"/>
        <v>COLLECT2021</v>
      </c>
      <c r="I149" s="315" t="str">
        <f t="shared" si="143"/>
        <v>COLLECT 2022</v>
      </c>
      <c r="J149" s="315" t="str">
        <f t="shared" si="143"/>
        <v>COLLECT 2023</v>
      </c>
      <c r="K149" s="315" t="str">
        <f t="shared" si="143"/>
        <v>COLLECT 2024</v>
      </c>
      <c r="L149" s="315" t="str">
        <f t="shared" si="143"/>
        <v>COLLECT 2025</v>
      </c>
      <c r="M149" s="315" t="str">
        <f t="shared" ref="M149" si="144">+M108</f>
        <v>COLLECT 2026</v>
      </c>
      <c r="O149" s="315" t="s">
        <v>811</v>
      </c>
    </row>
    <row r="150" spans="1:21" ht="13.8">
      <c r="A150" s="52" t="s">
        <v>339</v>
      </c>
      <c r="B150" s="52"/>
      <c r="C150" s="52"/>
      <c r="D150" s="102">
        <f t="shared" ref="D150:K150" si="145">D120*((+D66-D65+D70)/1000)</f>
        <v>7240213.3927283995</v>
      </c>
      <c r="E150" s="102">
        <f t="shared" si="145"/>
        <v>7184981.9524339996</v>
      </c>
      <c r="F150" s="102">
        <f t="shared" si="145"/>
        <v>7181827.2027280405</v>
      </c>
      <c r="G150" s="102">
        <f t="shared" si="145"/>
        <v>7208103.6819519596</v>
      </c>
      <c r="H150" s="102">
        <f t="shared" si="145"/>
        <v>7419072.4978478504</v>
      </c>
      <c r="I150" s="102">
        <f t="shared" si="145"/>
        <v>7440873.3470228678</v>
      </c>
      <c r="J150" s="102">
        <f t="shared" si="145"/>
        <v>6535305.7811825387</v>
      </c>
      <c r="K150" s="102">
        <f t="shared" si="145"/>
        <v>6566579.054516538</v>
      </c>
      <c r="L150" s="102">
        <f t="shared" ref="L150:M150" si="146">L120*((+L66-L65+L70)/1000)</f>
        <v>6585436.1182955392</v>
      </c>
      <c r="M150" s="102">
        <f t="shared" si="146"/>
        <v>6604304.3265126171</v>
      </c>
      <c r="O150" s="102">
        <v>7253491.7173263123</v>
      </c>
      <c r="P150" s="127">
        <f t="shared" ref="P150:P156" si="147">+H150-O150</f>
        <v>165580.78052153811</v>
      </c>
    </row>
    <row r="151" spans="1:21" s="142" customFormat="1" ht="13.8">
      <c r="A151" s="693" t="s">
        <v>920</v>
      </c>
      <c r="B151" s="693"/>
      <c r="C151" s="693"/>
      <c r="D151" s="703">
        <f t="shared" ref="D151:K151" si="148">D120*((D65+D74)/1000)</f>
        <v>0</v>
      </c>
      <c r="E151" s="703">
        <f t="shared" si="148"/>
        <v>0</v>
      </c>
      <c r="F151" s="703">
        <f t="shared" si="148"/>
        <v>0</v>
      </c>
      <c r="G151" s="703">
        <f t="shared" si="148"/>
        <v>0</v>
      </c>
      <c r="H151" s="703">
        <f t="shared" si="148"/>
        <v>0</v>
      </c>
      <c r="I151" s="703">
        <f t="shared" si="148"/>
        <v>0</v>
      </c>
      <c r="J151" s="703">
        <f t="shared" si="148"/>
        <v>0</v>
      </c>
      <c r="K151" s="703">
        <f t="shared" si="148"/>
        <v>0</v>
      </c>
      <c r="L151" s="703">
        <f t="shared" ref="L151:M151" si="149">L120*((L65+L74)/1000)</f>
        <v>0</v>
      </c>
      <c r="M151" s="703">
        <f t="shared" si="149"/>
        <v>0</v>
      </c>
      <c r="N151" s="151"/>
      <c r="O151" s="703">
        <v>0</v>
      </c>
      <c r="P151" s="127">
        <f t="shared" si="147"/>
        <v>0</v>
      </c>
      <c r="U151" s="704"/>
    </row>
    <row r="152" spans="1:21" ht="13.8">
      <c r="A152" s="52" t="s">
        <v>340</v>
      </c>
      <c r="B152" s="52"/>
      <c r="C152" s="52"/>
      <c r="D152" s="102">
        <f t="shared" ref="D152:K152" si="150">D135*(D101/1000)</f>
        <v>3549728.5754969199</v>
      </c>
      <c r="E152" s="102">
        <f t="shared" si="150"/>
        <v>3498336.1554599991</v>
      </c>
      <c r="F152" s="102">
        <f t="shared" si="150"/>
        <v>3480714.7355673998</v>
      </c>
      <c r="G152" s="102">
        <f t="shared" si="150"/>
        <v>3516961.1084587495</v>
      </c>
      <c r="H152" s="102">
        <f t="shared" si="150"/>
        <v>3662196.6324138003</v>
      </c>
      <c r="I152" s="102">
        <f t="shared" si="150"/>
        <v>3753754.8753248448</v>
      </c>
      <c r="J152" s="102">
        <f t="shared" si="150"/>
        <v>3332546.0668009394</v>
      </c>
      <c r="K152" s="102">
        <f t="shared" si="150"/>
        <v>3413449.4724056083</v>
      </c>
      <c r="L152" s="102">
        <f t="shared" ref="L152:M152" si="151">L135*(L101/1000)</f>
        <v>3492898.5011836565</v>
      </c>
      <c r="M152" s="102">
        <f t="shared" si="151"/>
        <v>3572533.0339739565</v>
      </c>
      <c r="O152" s="102">
        <v>3556755.8996251142</v>
      </c>
      <c r="P152" s="127">
        <f t="shared" si="147"/>
        <v>105440.73278868617</v>
      </c>
    </row>
    <row r="153" spans="1:21" ht="13.8">
      <c r="A153" s="52" t="s">
        <v>341</v>
      </c>
      <c r="B153" s="52"/>
      <c r="C153" s="52"/>
      <c r="D153" s="103">
        <f t="shared" ref="D153:K153" si="152">(SUM(D141:D143)*(D51/1000))</f>
        <v>992342.40399999998</v>
      </c>
      <c r="E153" s="103">
        <f t="shared" si="152"/>
        <v>1168585.3759999999</v>
      </c>
      <c r="F153" s="103">
        <f t="shared" si="152"/>
        <v>1313623.8959999999</v>
      </c>
      <c r="G153" s="103">
        <f t="shared" si="152"/>
        <v>1609171.9679999999</v>
      </c>
      <c r="H153" s="103">
        <f t="shared" si="152"/>
        <v>1691662.0599999998</v>
      </c>
      <c r="I153" s="103">
        <f t="shared" si="152"/>
        <v>1774152.1519999998</v>
      </c>
      <c r="J153" s="103">
        <f t="shared" si="152"/>
        <v>1644542.385</v>
      </c>
      <c r="K153" s="103">
        <f t="shared" si="152"/>
        <v>1717608.94</v>
      </c>
      <c r="L153" s="103">
        <f t="shared" ref="L153:M153" si="153">(SUM(L141:L143)*(L51/1000))</f>
        <v>1790675.4949999999</v>
      </c>
      <c r="M153" s="103">
        <f t="shared" si="153"/>
        <v>1863742.05</v>
      </c>
      <c r="O153" s="103">
        <v>1639371.9679999999</v>
      </c>
      <c r="P153" s="127">
        <f t="shared" si="147"/>
        <v>52290.091999999946</v>
      </c>
    </row>
    <row r="154" spans="1:21" ht="13.8">
      <c r="A154" s="52" t="s">
        <v>342</v>
      </c>
      <c r="B154" s="52"/>
      <c r="C154" s="52"/>
      <c r="D154" s="104">
        <f t="shared" ref="D154:L154" si="154">D144*(D77/1000)</f>
        <v>0</v>
      </c>
      <c r="E154" s="104">
        <f t="shared" si="154"/>
        <v>0</v>
      </c>
      <c r="F154" s="104">
        <f t="shared" si="154"/>
        <v>0</v>
      </c>
      <c r="G154" s="104">
        <f t="shared" si="154"/>
        <v>0</v>
      </c>
      <c r="H154" s="104">
        <f t="shared" si="154"/>
        <v>0</v>
      </c>
      <c r="I154" s="104">
        <f t="shared" si="154"/>
        <v>0</v>
      </c>
      <c r="J154" s="104">
        <f t="shared" si="154"/>
        <v>0</v>
      </c>
      <c r="K154" s="104">
        <f t="shared" si="154"/>
        <v>0</v>
      </c>
      <c r="L154" s="104">
        <f t="shared" si="154"/>
        <v>0</v>
      </c>
      <c r="M154" s="104">
        <f t="shared" ref="M154" si="155">M144*(M77/1000)</f>
        <v>0</v>
      </c>
      <c r="O154" s="104">
        <v>0</v>
      </c>
      <c r="P154" s="127">
        <f t="shared" si="147"/>
        <v>0</v>
      </c>
    </row>
    <row r="155" spans="1:21" ht="14.4" thickBot="1">
      <c r="A155" s="52" t="s">
        <v>343</v>
      </c>
      <c r="B155" s="52"/>
      <c r="C155" s="52"/>
      <c r="D155" s="105">
        <f t="shared" ref="D155:G155" si="156">SUM(D150:D154)</f>
        <v>11782284.372225318</v>
      </c>
      <c r="E155" s="105">
        <f t="shared" si="156"/>
        <v>11851903.483894</v>
      </c>
      <c r="F155" s="105">
        <f t="shared" si="156"/>
        <v>11976165.83429544</v>
      </c>
      <c r="G155" s="105">
        <f t="shared" si="156"/>
        <v>12334236.758410709</v>
      </c>
      <c r="H155" s="105">
        <f t="shared" ref="H155:M155" si="157">SUM(H150:H154)</f>
        <v>12772931.190261651</v>
      </c>
      <c r="I155" s="105">
        <f t="shared" si="157"/>
        <v>12968780.374347713</v>
      </c>
      <c r="J155" s="105">
        <f t="shared" si="157"/>
        <v>11512394.232983477</v>
      </c>
      <c r="K155" s="105">
        <f t="shared" si="157"/>
        <v>11697637.466922145</v>
      </c>
      <c r="L155" s="105">
        <f t="shared" si="157"/>
        <v>11869010.114479195</v>
      </c>
      <c r="M155" s="105">
        <f t="shared" si="157"/>
        <v>12040579.410486575</v>
      </c>
      <c r="O155" s="105">
        <v>12449619.584951427</v>
      </c>
      <c r="P155" s="127">
        <f t="shared" si="147"/>
        <v>323311.605310224</v>
      </c>
    </row>
    <row r="156" spans="1:21" ht="13.8" thickTop="1">
      <c r="A156" s="1467" t="s">
        <v>1054</v>
      </c>
      <c r="B156" s="1468"/>
      <c r="C156" s="1468"/>
      <c r="D156" s="1469" t="s">
        <v>250</v>
      </c>
      <c r="E156" s="1470">
        <f t="shared" ref="E156:M156" si="158">E155-D155</f>
        <v>69619.111668681726</v>
      </c>
      <c r="F156" s="1470">
        <f t="shared" si="158"/>
        <v>124262.35040144064</v>
      </c>
      <c r="G156" s="1470">
        <f t="shared" si="158"/>
        <v>358070.92411526851</v>
      </c>
      <c r="H156" s="1470">
        <f t="shared" si="158"/>
        <v>438694.43185094185</v>
      </c>
      <c r="I156" s="1470">
        <f t="shared" si="158"/>
        <v>195849.18408606201</v>
      </c>
      <c r="J156" s="1470">
        <f t="shared" si="158"/>
        <v>-1456386.1413642354</v>
      </c>
      <c r="K156" s="1470">
        <f t="shared" si="158"/>
        <v>185243.23393866792</v>
      </c>
      <c r="L156" s="1470">
        <f t="shared" si="158"/>
        <v>171372.64755704999</v>
      </c>
      <c r="M156" s="1470">
        <f t="shared" si="158"/>
        <v>171569.29600737989</v>
      </c>
      <c r="O156" s="1489">
        <v>115382.82654071786</v>
      </c>
      <c r="P156" s="127">
        <f t="shared" si="147"/>
        <v>323311.605310224</v>
      </c>
    </row>
    <row r="157" spans="1:21" ht="13.8">
      <c r="A157" s="49" t="s">
        <v>250</v>
      </c>
      <c r="B157" s="53" t="s">
        <v>344</v>
      </c>
      <c r="C157" s="48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O157" s="142"/>
    </row>
    <row r="158" spans="1:21" ht="13.8">
      <c r="A158" s="87" t="s">
        <v>345</v>
      </c>
      <c r="B158" s="106" t="s">
        <v>346</v>
      </c>
      <c r="C158" s="48"/>
      <c r="D158" s="139" t="s">
        <v>444</v>
      </c>
      <c r="E158" s="139" t="s">
        <v>481</v>
      </c>
      <c r="F158" s="139" t="s">
        <v>683</v>
      </c>
      <c r="G158" s="139" t="str">
        <f t="shared" ref="G158:L158" si="159">+G149</f>
        <v>COLLECT2020</v>
      </c>
      <c r="H158" s="139" t="str">
        <f t="shared" si="159"/>
        <v>COLLECT2021</v>
      </c>
      <c r="I158" s="315" t="str">
        <f t="shared" si="159"/>
        <v>COLLECT 2022</v>
      </c>
      <c r="J158" s="315" t="str">
        <f t="shared" si="159"/>
        <v>COLLECT 2023</v>
      </c>
      <c r="K158" s="315" t="str">
        <f t="shared" si="159"/>
        <v>COLLECT 2024</v>
      </c>
      <c r="L158" s="315" t="str">
        <f t="shared" si="159"/>
        <v>COLLECT 2025</v>
      </c>
      <c r="M158" s="315" t="str">
        <f t="shared" ref="M158" si="160">+M149</f>
        <v>COLLECT 2026</v>
      </c>
      <c r="O158" s="315" t="s">
        <v>811</v>
      </c>
    </row>
    <row r="159" spans="1:21" ht="13.8">
      <c r="A159" s="145" t="s">
        <v>112</v>
      </c>
      <c r="B159" s="54">
        <v>0.1</v>
      </c>
      <c r="C159" s="48"/>
      <c r="D159" s="148">
        <f t="shared" ref="D159:M160" si="161">$B159*D$150</f>
        <v>724021.33927283995</v>
      </c>
      <c r="E159" s="148">
        <f t="shared" si="161"/>
        <v>718498.19524340006</v>
      </c>
      <c r="F159" s="148">
        <f t="shared" si="161"/>
        <v>718182.72027280414</v>
      </c>
      <c r="G159" s="148">
        <f t="shared" si="161"/>
        <v>720810.36819519603</v>
      </c>
      <c r="H159" s="148">
        <f t="shared" si="161"/>
        <v>741907.24978478509</v>
      </c>
      <c r="I159" s="148">
        <f t="shared" si="161"/>
        <v>744087.33470228687</v>
      </c>
      <c r="J159" s="148">
        <f t="shared" si="161"/>
        <v>653530.57811825396</v>
      </c>
      <c r="K159" s="148">
        <f t="shared" si="161"/>
        <v>656657.90545165387</v>
      </c>
      <c r="L159" s="148">
        <f t="shared" si="161"/>
        <v>658543.61182955396</v>
      </c>
      <c r="M159" s="148">
        <f t="shared" si="161"/>
        <v>660430.4326512618</v>
      </c>
      <c r="O159" s="148">
        <v>725349.17173263128</v>
      </c>
      <c r="P159" s="127">
        <f t="shared" ref="P159:P163" si="162">+H159-O159</f>
        <v>16558.078052153811</v>
      </c>
    </row>
    <row r="160" spans="1:21" ht="13.8">
      <c r="A160" s="145" t="s">
        <v>347</v>
      </c>
      <c r="B160" s="54">
        <v>1.7999999999999999E-2</v>
      </c>
      <c r="C160" s="48"/>
      <c r="D160" s="148">
        <f t="shared" si="161"/>
        <v>130323.84106911118</v>
      </c>
      <c r="E160" s="148">
        <f t="shared" si="161"/>
        <v>129329.67514381198</v>
      </c>
      <c r="F160" s="148">
        <f t="shared" si="161"/>
        <v>129272.88964910472</v>
      </c>
      <c r="G160" s="148">
        <f t="shared" si="161"/>
        <v>129745.86627513527</v>
      </c>
      <c r="H160" s="148">
        <f t="shared" si="161"/>
        <v>133543.30496126131</v>
      </c>
      <c r="I160" s="148">
        <f t="shared" si="161"/>
        <v>133935.7202464116</v>
      </c>
      <c r="J160" s="148">
        <f t="shared" si="161"/>
        <v>117635.50406128568</v>
      </c>
      <c r="K160" s="148">
        <f t="shared" si="161"/>
        <v>118198.42298129767</v>
      </c>
      <c r="L160" s="148">
        <f t="shared" si="161"/>
        <v>118537.85012931969</v>
      </c>
      <c r="M160" s="148">
        <f t="shared" si="161"/>
        <v>118877.47787722709</v>
      </c>
      <c r="O160" s="148">
        <v>133464.24759880416</v>
      </c>
      <c r="P160" s="127">
        <f t="shared" si="162"/>
        <v>79.05736245715525</v>
      </c>
    </row>
    <row r="161" spans="1:16" ht="13.8">
      <c r="A161" s="145" t="s">
        <v>348</v>
      </c>
      <c r="B161" s="54">
        <v>5.1999999999999998E-2</v>
      </c>
      <c r="C161" s="48"/>
      <c r="D161" s="148">
        <f>$B161*(D$150+D$151)</f>
        <v>376491.09642187675</v>
      </c>
      <c r="E161" s="148">
        <f t="shared" ref="E161:M161" si="163">$B161*(E$150+E$151)</f>
        <v>373619.06152656797</v>
      </c>
      <c r="F161" s="148">
        <f t="shared" si="163"/>
        <v>373455.01454185811</v>
      </c>
      <c r="G161" s="148">
        <f t="shared" si="163"/>
        <v>374821.39146150189</v>
      </c>
      <c r="H161" s="148">
        <f t="shared" si="163"/>
        <v>385791.76988808822</v>
      </c>
      <c r="I161" s="148">
        <f t="shared" si="163"/>
        <v>386925.4140451891</v>
      </c>
      <c r="J161" s="148">
        <f t="shared" si="163"/>
        <v>339835.90062149201</v>
      </c>
      <c r="K161" s="148">
        <f t="shared" si="163"/>
        <v>341462.11083485995</v>
      </c>
      <c r="L161" s="148">
        <f t="shared" si="163"/>
        <v>342442.67815136805</v>
      </c>
      <c r="M161" s="148">
        <f t="shared" si="163"/>
        <v>343423.82497865608</v>
      </c>
      <c r="O161" s="148">
        <v>362674.58586631564</v>
      </c>
      <c r="P161" s="127">
        <f t="shared" si="162"/>
        <v>23117.184021772584</v>
      </c>
    </row>
    <row r="162" spans="1:16" ht="13.8">
      <c r="A162" s="145" t="s">
        <v>349</v>
      </c>
      <c r="B162" s="54"/>
      <c r="C162" s="48"/>
      <c r="D162" s="107">
        <f t="shared" ref="D162:K162" si="164">$B162*D154</f>
        <v>0</v>
      </c>
      <c r="E162" s="107">
        <f t="shared" si="164"/>
        <v>0</v>
      </c>
      <c r="F162" s="107">
        <f t="shared" si="164"/>
        <v>0</v>
      </c>
      <c r="G162" s="107">
        <f t="shared" si="164"/>
        <v>0</v>
      </c>
      <c r="H162" s="107">
        <f t="shared" si="164"/>
        <v>0</v>
      </c>
      <c r="I162" s="107">
        <f t="shared" si="164"/>
        <v>0</v>
      </c>
      <c r="J162" s="107">
        <f t="shared" si="164"/>
        <v>0</v>
      </c>
      <c r="K162" s="107">
        <f t="shared" si="164"/>
        <v>0</v>
      </c>
      <c r="L162" s="107">
        <f t="shared" ref="L162:M162" si="165">$B162*L154</f>
        <v>0</v>
      </c>
      <c r="M162" s="107">
        <f t="shared" si="165"/>
        <v>0</v>
      </c>
      <c r="O162" s="107">
        <v>0</v>
      </c>
      <c r="P162" s="127">
        <f t="shared" si="162"/>
        <v>0</v>
      </c>
    </row>
    <row r="163" spans="1:16" ht="14.4" thickBot="1">
      <c r="A163" s="145" t="s">
        <v>113</v>
      </c>
      <c r="B163" s="48"/>
      <c r="C163" s="48"/>
      <c r="D163" s="108">
        <f t="shared" ref="D163:G163" si="166">SUM(D159:D162)</f>
        <v>1230836.2767638278</v>
      </c>
      <c r="E163" s="108">
        <f t="shared" si="166"/>
        <v>1221446.93191378</v>
      </c>
      <c r="F163" s="108">
        <f t="shared" si="166"/>
        <v>1220910.6244637668</v>
      </c>
      <c r="G163" s="108">
        <f t="shared" si="166"/>
        <v>1225377.6259318332</v>
      </c>
      <c r="H163" s="108">
        <f t="shared" ref="H163:M163" si="167">SUM(H159:H162)</f>
        <v>1261242.3246341348</v>
      </c>
      <c r="I163" s="108">
        <f t="shared" si="167"/>
        <v>1264948.4689938875</v>
      </c>
      <c r="J163" s="108">
        <f t="shared" si="167"/>
        <v>1111001.9828010316</v>
      </c>
      <c r="K163" s="108">
        <f t="shared" si="167"/>
        <v>1116318.4392678116</v>
      </c>
      <c r="L163" s="108">
        <f t="shared" si="167"/>
        <v>1119524.1401102417</v>
      </c>
      <c r="M163" s="108">
        <f t="shared" si="167"/>
        <v>1122731.7355071451</v>
      </c>
      <c r="O163" s="108">
        <v>1221488.0051977511</v>
      </c>
      <c r="P163" s="127">
        <f t="shared" si="162"/>
        <v>39754.319436383666</v>
      </c>
    </row>
    <row r="164" spans="1:16" ht="14.4" thickTop="1">
      <c r="A164" s="49"/>
      <c r="B164" s="48"/>
      <c r="C164" s="48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O164" s="142"/>
    </row>
    <row r="165" spans="1:16" ht="14.4" thickBot="1">
      <c r="A165" s="51" t="s">
        <v>350</v>
      </c>
      <c r="B165" s="48"/>
      <c r="C165" s="48"/>
      <c r="D165" s="94">
        <f t="shared" ref="D165:G165" si="168">D155-D163</f>
        <v>10551448.09546149</v>
      </c>
      <c r="E165" s="94">
        <f t="shared" si="168"/>
        <v>10630456.55198022</v>
      </c>
      <c r="F165" s="94">
        <f t="shared" si="168"/>
        <v>10755255.209831674</v>
      </c>
      <c r="G165" s="94">
        <f t="shared" si="168"/>
        <v>11108859.132478876</v>
      </c>
      <c r="H165" s="94">
        <f t="shared" ref="H165:M165" si="169">H155-H163</f>
        <v>11511688.865627516</v>
      </c>
      <c r="I165" s="94">
        <f t="shared" si="169"/>
        <v>11703831.905353826</v>
      </c>
      <c r="J165" s="94">
        <f t="shared" si="169"/>
        <v>10401392.250182446</v>
      </c>
      <c r="K165" s="94">
        <f t="shared" si="169"/>
        <v>10581319.027654333</v>
      </c>
      <c r="L165" s="94">
        <f t="shared" si="169"/>
        <v>10749485.974368954</v>
      </c>
      <c r="M165" s="94">
        <f t="shared" si="169"/>
        <v>10917847.67497943</v>
      </c>
      <c r="O165" s="94">
        <v>11228131.579753676</v>
      </c>
      <c r="P165" s="127">
        <f t="shared" ref="P165:P166" si="170">+H165-O165</f>
        <v>283557.28587383963</v>
      </c>
    </row>
    <row r="166" spans="1:16" ht="15" thickTop="1" thickBot="1">
      <c r="A166" s="53" t="s">
        <v>351</v>
      </c>
      <c r="B166" s="54">
        <v>0.99</v>
      </c>
      <c r="C166" s="48"/>
      <c r="D166" s="94">
        <f t="shared" ref="D166:K166" si="171">D165*$B$166</f>
        <v>10445933.614506874</v>
      </c>
      <c r="E166" s="94">
        <f t="shared" si="171"/>
        <v>10524151.986460418</v>
      </c>
      <c r="F166" s="94">
        <f t="shared" si="171"/>
        <v>10647702.657733357</v>
      </c>
      <c r="G166" s="94">
        <f t="shared" si="171"/>
        <v>10997770.541154087</v>
      </c>
      <c r="H166" s="94">
        <f t="shared" si="171"/>
        <v>11396571.976971241</v>
      </c>
      <c r="I166" s="94">
        <f t="shared" si="171"/>
        <v>11586793.586300287</v>
      </c>
      <c r="J166" s="94">
        <f t="shared" si="171"/>
        <v>10297378.327680621</v>
      </c>
      <c r="K166" s="94">
        <f t="shared" si="171"/>
        <v>10475505.83737779</v>
      </c>
      <c r="L166" s="94">
        <f t="shared" ref="L166:M166" si="172">L165*$B$166</f>
        <v>10641991.114625264</v>
      </c>
      <c r="M166" s="94">
        <f t="shared" si="172"/>
        <v>10808669.198229635</v>
      </c>
      <c r="O166" s="94">
        <v>10779006.31656353</v>
      </c>
      <c r="P166" s="127">
        <f t="shared" si="170"/>
        <v>617565.66040771082</v>
      </c>
    </row>
    <row r="167" spans="1:16" ht="14.4" thickTop="1">
      <c r="A167" s="49" t="s">
        <v>352</v>
      </c>
      <c r="B167" s="48"/>
      <c r="C167" s="48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O167" s="142"/>
    </row>
    <row r="168" spans="1:16" ht="13.8">
      <c r="A168" s="145" t="s">
        <v>114</v>
      </c>
      <c r="B168" s="50"/>
      <c r="C168" s="50"/>
      <c r="D168" s="109">
        <v>0.55000000000000004</v>
      </c>
      <c r="E168" s="109">
        <v>0.55000000000000004</v>
      </c>
      <c r="F168" s="109">
        <v>0.55000000000000004</v>
      </c>
      <c r="G168" s="109">
        <v>0.55000000000000004</v>
      </c>
      <c r="H168" s="109">
        <v>0.55000000000000004</v>
      </c>
      <c r="I168" s="109">
        <f>+H168</f>
        <v>0.55000000000000004</v>
      </c>
      <c r="J168" s="109">
        <f t="shared" ref="J168:M168" si="173">+I168</f>
        <v>0.55000000000000004</v>
      </c>
      <c r="K168" s="109">
        <f t="shared" si="173"/>
        <v>0.55000000000000004</v>
      </c>
      <c r="L168" s="109">
        <f t="shared" si="173"/>
        <v>0.55000000000000004</v>
      </c>
      <c r="M168" s="109">
        <f t="shared" si="173"/>
        <v>0.55000000000000004</v>
      </c>
      <c r="O168" s="109">
        <v>0.55000000000000004</v>
      </c>
      <c r="P168" s="127">
        <f t="shared" ref="P168:P169" si="174">+H168-O168</f>
        <v>0</v>
      </c>
    </row>
    <row r="169" spans="1:16" ht="13.8">
      <c r="A169" s="145" t="s">
        <v>115</v>
      </c>
      <c r="B169" s="50"/>
      <c r="C169" s="50"/>
      <c r="D169" s="109">
        <v>0.45</v>
      </c>
      <c r="E169" s="109">
        <v>0.45</v>
      </c>
      <c r="F169" s="109">
        <v>0.45</v>
      </c>
      <c r="G169" s="109">
        <v>0.45</v>
      </c>
      <c r="H169" s="109">
        <v>0.45</v>
      </c>
      <c r="I169" s="109">
        <f t="shared" ref="I169:M169" si="175">+H169</f>
        <v>0.45</v>
      </c>
      <c r="J169" s="109">
        <f t="shared" si="175"/>
        <v>0.45</v>
      </c>
      <c r="K169" s="109">
        <f t="shared" si="175"/>
        <v>0.45</v>
      </c>
      <c r="L169" s="109">
        <f t="shared" si="175"/>
        <v>0.45</v>
      </c>
      <c r="M169" s="109">
        <f t="shared" si="175"/>
        <v>0.45</v>
      </c>
      <c r="O169" s="109">
        <v>0.45</v>
      </c>
      <c r="P169" s="127">
        <f t="shared" si="174"/>
        <v>0</v>
      </c>
    </row>
    <row r="170" spans="1:16" ht="13.8">
      <c r="A170" s="110"/>
      <c r="B170" s="111"/>
      <c r="C170" s="111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O170" s="55"/>
    </row>
    <row r="171" spans="1:16" ht="13.8">
      <c r="A171" s="1592" t="s">
        <v>116</v>
      </c>
      <c r="B171" s="1593"/>
      <c r="C171" s="1593"/>
      <c r="D171" s="685"/>
      <c r="E171" s="685"/>
      <c r="F171" s="685"/>
      <c r="G171" s="685"/>
      <c r="H171" s="685"/>
      <c r="I171" s="685"/>
      <c r="J171" s="685"/>
      <c r="K171" s="685"/>
      <c r="L171" s="707"/>
      <c r="M171" s="1552"/>
      <c r="O171" s="1483"/>
    </row>
    <row r="172" spans="1:16" ht="13.8">
      <c r="A172" s="49"/>
      <c r="B172" s="48"/>
      <c r="C172" s="48"/>
      <c r="D172" s="56" t="s">
        <v>300</v>
      </c>
      <c r="E172" s="56" t="s">
        <v>300</v>
      </c>
      <c r="F172" s="56" t="s">
        <v>300</v>
      </c>
      <c r="G172" s="56" t="s">
        <v>300</v>
      </c>
      <c r="H172" s="56" t="s">
        <v>189</v>
      </c>
      <c r="I172" s="56" t="s">
        <v>189</v>
      </c>
      <c r="J172" s="57" t="s">
        <v>189</v>
      </c>
      <c r="K172" s="57" t="s">
        <v>189</v>
      </c>
      <c r="L172" s="57" t="s">
        <v>189</v>
      </c>
      <c r="M172" s="57" t="s">
        <v>189</v>
      </c>
      <c r="O172" s="56" t="s">
        <v>189</v>
      </c>
    </row>
    <row r="173" spans="1:16" ht="13.8">
      <c r="A173" s="49"/>
      <c r="B173" s="48"/>
      <c r="C173" s="48"/>
      <c r="D173" s="143" t="s">
        <v>90</v>
      </c>
      <c r="E173" s="143" t="s">
        <v>90</v>
      </c>
      <c r="F173" s="143" t="s">
        <v>90</v>
      </c>
      <c r="G173" s="143" t="s">
        <v>90</v>
      </c>
      <c r="H173" s="143" t="s">
        <v>90</v>
      </c>
      <c r="I173" s="58" t="s">
        <v>90</v>
      </c>
      <c r="J173" s="58" t="s">
        <v>90</v>
      </c>
      <c r="K173" s="58" t="s">
        <v>90</v>
      </c>
      <c r="L173" s="58" t="s">
        <v>90</v>
      </c>
      <c r="M173" s="58" t="s">
        <v>90</v>
      </c>
      <c r="O173" s="58" t="s">
        <v>90</v>
      </c>
    </row>
    <row r="174" spans="1:16" ht="13.8">
      <c r="A174" s="49"/>
      <c r="B174" s="48"/>
      <c r="C174" s="48"/>
      <c r="D174" s="144">
        <v>2017</v>
      </c>
      <c r="E174" s="144">
        <v>2018</v>
      </c>
      <c r="F174" s="144">
        <v>2019</v>
      </c>
      <c r="G174" s="144" t="str">
        <f t="shared" ref="G174:L174" si="176">RIGHT(G158,4)</f>
        <v>2020</v>
      </c>
      <c r="H174" s="144" t="str">
        <f t="shared" si="176"/>
        <v>2021</v>
      </c>
      <c r="I174" s="59" t="str">
        <f t="shared" si="176"/>
        <v>2022</v>
      </c>
      <c r="J174" s="59" t="str">
        <f t="shared" si="176"/>
        <v>2023</v>
      </c>
      <c r="K174" s="59" t="str">
        <f t="shared" si="176"/>
        <v>2024</v>
      </c>
      <c r="L174" s="59" t="str">
        <f t="shared" si="176"/>
        <v>2025</v>
      </c>
      <c r="M174" s="59" t="str">
        <f t="shared" ref="M174" si="177">RIGHT(M158,4)</f>
        <v>2026</v>
      </c>
      <c r="O174" s="59" t="s">
        <v>1063</v>
      </c>
    </row>
    <row r="175" spans="1:16" ht="13.8">
      <c r="A175" s="87" t="s">
        <v>353</v>
      </c>
      <c r="B175" s="48"/>
      <c r="C175" s="48"/>
      <c r="D175" s="55"/>
      <c r="E175" s="55"/>
      <c r="F175" s="55"/>
      <c r="G175" s="596"/>
      <c r="H175" s="55"/>
      <c r="I175" s="55"/>
      <c r="J175" s="55"/>
      <c r="K175" s="55"/>
      <c r="L175" s="55"/>
      <c r="M175" s="55"/>
      <c r="O175" s="55"/>
    </row>
    <row r="176" spans="1:16" ht="13.8">
      <c r="A176" s="145" t="s">
        <v>117</v>
      </c>
      <c r="B176" s="50"/>
      <c r="C176" s="48"/>
      <c r="D176" s="161">
        <f>9023653-D178-D179-80000</f>
        <v>3719240</v>
      </c>
      <c r="E176" s="161">
        <f>2392220+1275625</f>
        <v>3667845</v>
      </c>
      <c r="F176" s="161">
        <f>2325266+1320616</f>
        <v>3645882</v>
      </c>
      <c r="G176" s="161">
        <f>2426372+1446613</f>
        <v>3872985</v>
      </c>
      <c r="H176" s="161">
        <f>2504687+1497592</f>
        <v>4002279</v>
      </c>
      <c r="I176" s="161">
        <f>2476295+1474661</f>
        <v>3950956</v>
      </c>
      <c r="J176" s="148">
        <f t="shared" ref="J176:M176" si="178">(((+I150+I151+I152-I163)*$B$166)*I169)</f>
        <v>4423672.3301191293</v>
      </c>
      <c r="K176" s="148">
        <f t="shared" si="178"/>
        <v>3901176.6149387797</v>
      </c>
      <c r="L176" s="148">
        <f t="shared" si="178"/>
        <v>3948782.8440500055</v>
      </c>
      <c r="M176" s="148">
        <f t="shared" si="178"/>
        <v>3991150.0685588694</v>
      </c>
      <c r="O176" s="161">
        <v>4002279</v>
      </c>
      <c r="P176" s="127">
        <f t="shared" ref="P176:P180" si="179">+H176-O176</f>
        <v>0</v>
      </c>
    </row>
    <row r="177" spans="1:18" ht="13.8">
      <c r="A177" s="145" t="s">
        <v>873</v>
      </c>
      <c r="B177" s="603">
        <f>SUM(E177:G177)/SUM(E176:G176)</f>
        <v>2.4193882885337532E-2</v>
      </c>
      <c r="C177" s="48"/>
      <c r="D177" s="161">
        <v>80000</v>
      </c>
      <c r="E177" s="161">
        <f>45974+38295</f>
        <v>84269</v>
      </c>
      <c r="F177" s="161">
        <f>58945+21424</f>
        <v>80369</v>
      </c>
      <c r="G177" s="161">
        <f>62478+43534</f>
        <v>106012</v>
      </c>
      <c r="H177" s="161">
        <f>59240+52770</f>
        <v>112010</v>
      </c>
      <c r="I177" s="161">
        <f>45130+15317</f>
        <v>60447</v>
      </c>
      <c r="J177" s="148">
        <f t="shared" ref="J177:K177" si="180">+J176*$B177</f>
        <v>107025.81027801041</v>
      </c>
      <c r="K177" s="148">
        <f t="shared" si="180"/>
        <v>94384.610136846357</v>
      </c>
      <c r="L177" s="148">
        <f t="shared" ref="L177:M177" si="181">+L176*$B177</f>
        <v>95536.389668575895</v>
      </c>
      <c r="M177" s="148">
        <f t="shared" si="181"/>
        <v>96561.417336520157</v>
      </c>
      <c r="O177" s="161">
        <v>112010</v>
      </c>
      <c r="P177" s="127">
        <f t="shared" si="179"/>
        <v>0</v>
      </c>
    </row>
    <row r="178" spans="1:18" ht="13.8">
      <c r="A178" s="145" t="s">
        <v>118</v>
      </c>
      <c r="B178" s="603"/>
      <c r="C178" s="48"/>
      <c r="D178" s="161">
        <f>3083156+1784947</f>
        <v>4868103</v>
      </c>
      <c r="E178" s="161">
        <f>3122450+1913372</f>
        <v>5035822</v>
      </c>
      <c r="F178" s="161">
        <f>3149424+1865131</f>
        <v>5014555</v>
      </c>
      <c r="G178" s="161">
        <f>3160735+1841643</f>
        <v>5002378</v>
      </c>
      <c r="H178" s="161">
        <f>3377287.36+1973484.14-1</f>
        <v>5350770.5</v>
      </c>
      <c r="I178" s="148">
        <f t="shared" ref="I178:K178" si="182">(((+I150+I151+I152-I163)*$B$166)*I168)</f>
        <v>5406710.6257011583</v>
      </c>
      <c r="J178" s="148">
        <f>(((+J150+J151+J152-J163)*$B$166)*J168)</f>
        <v>4768104.7515918426</v>
      </c>
      <c r="K178" s="148">
        <f t="shared" si="182"/>
        <v>4826290.1427277848</v>
      </c>
      <c r="L178" s="148">
        <f t="shared" ref="L178:M178" si="183">(((+L150+L151+L152-L163)*$B$166)*L168)</f>
        <v>4878072.3060163958</v>
      </c>
      <c r="M178" s="148">
        <f t="shared" si="183"/>
        <v>4929960.5128012998</v>
      </c>
      <c r="O178" s="148">
        <v>5062865.0750059411</v>
      </c>
      <c r="P178" s="127">
        <f t="shared" si="179"/>
        <v>287905.42499405891</v>
      </c>
      <c r="R178" s="135"/>
    </row>
    <row r="179" spans="1:18" ht="13.8">
      <c r="A179" s="145" t="s">
        <v>872</v>
      </c>
      <c r="B179" s="603">
        <v>7.4999999999999997E-2</v>
      </c>
      <c r="C179" s="48"/>
      <c r="D179" s="161">
        <f>239800+116510</f>
        <v>356310</v>
      </c>
      <c r="E179" s="161">
        <f>270325+172144</f>
        <v>442469</v>
      </c>
      <c r="F179" s="161">
        <f>305902+110998</f>
        <v>416900</v>
      </c>
      <c r="G179" s="161">
        <f>261628+182872</f>
        <v>444500</v>
      </c>
      <c r="H179" s="161">
        <f>221003.75+179317.33</f>
        <v>400321.07999999996</v>
      </c>
      <c r="I179" s="148">
        <f t="shared" ref="I179:K179" si="184">+I178*$B179</f>
        <v>405503.29692758684</v>
      </c>
      <c r="J179" s="148">
        <f t="shared" si="184"/>
        <v>357607.85636938817</v>
      </c>
      <c r="K179" s="148">
        <f t="shared" si="184"/>
        <v>361971.76070458384</v>
      </c>
      <c r="L179" s="148">
        <f t="shared" ref="L179:M179" si="185">+L178*$B179</f>
        <v>365855.42295122967</v>
      </c>
      <c r="M179" s="148">
        <f t="shared" si="185"/>
        <v>369747.03846009745</v>
      </c>
      <c r="O179" s="148">
        <v>421932.74392891553</v>
      </c>
      <c r="P179" s="127">
        <f t="shared" si="179"/>
        <v>-21611.663928915572</v>
      </c>
      <c r="R179" s="135"/>
    </row>
    <row r="180" spans="1:18" ht="14.4" thickBot="1">
      <c r="A180" s="145" t="s">
        <v>354</v>
      </c>
      <c r="B180" s="50"/>
      <c r="C180" s="48"/>
      <c r="D180" s="162">
        <f t="shared" ref="D180:I180" si="186">SUM(D176:D179)</f>
        <v>9023653</v>
      </c>
      <c r="E180" s="162">
        <f t="shared" si="186"/>
        <v>9230405</v>
      </c>
      <c r="F180" s="162">
        <f t="shared" si="186"/>
        <v>9157706</v>
      </c>
      <c r="G180" s="162">
        <f t="shared" si="186"/>
        <v>9425875</v>
      </c>
      <c r="H180" s="162">
        <f t="shared" si="186"/>
        <v>9865380.5800000001</v>
      </c>
      <c r="I180" s="112">
        <f t="shared" si="186"/>
        <v>9823616.9226287454</v>
      </c>
      <c r="J180" s="112">
        <f>SUM(J176:J179)</f>
        <v>9656410.7483583689</v>
      </c>
      <c r="K180" s="112">
        <f>SUM(K176:K179)</f>
        <v>9183823.128507996</v>
      </c>
      <c r="L180" s="112">
        <f>SUM(L176:L179)</f>
        <v>9288246.9626862071</v>
      </c>
      <c r="M180" s="112">
        <f>SUM(M176:M179)</f>
        <v>9387419.0371567868</v>
      </c>
      <c r="O180" s="112">
        <v>9599086.818934856</v>
      </c>
      <c r="P180" s="127">
        <f t="shared" si="179"/>
        <v>266293.76106514409</v>
      </c>
    </row>
    <row r="181" spans="1:18" ht="14.4" thickTop="1">
      <c r="A181" s="49"/>
      <c r="B181" s="48"/>
      <c r="C181" s="48"/>
      <c r="D181" s="602"/>
      <c r="E181" s="602"/>
      <c r="F181" s="602"/>
      <c r="G181" s="602"/>
      <c r="H181" s="72"/>
      <c r="I181" s="72">
        <f>+I177+I179-H179-H177</f>
        <v>-46380.78307241312</v>
      </c>
      <c r="J181" s="72"/>
      <c r="K181" s="72"/>
      <c r="L181" s="72"/>
      <c r="M181" s="72"/>
      <c r="O181" s="72"/>
    </row>
    <row r="182" spans="1:18" ht="13.8">
      <c r="A182" s="87" t="s">
        <v>355</v>
      </c>
      <c r="B182" s="48"/>
      <c r="C182" s="48"/>
      <c r="D182" s="72"/>
      <c r="E182" s="72"/>
      <c r="F182" s="72"/>
      <c r="G182" s="142"/>
      <c r="H182" s="142"/>
      <c r="I182" s="142"/>
      <c r="J182" s="142"/>
      <c r="K182" s="142"/>
      <c r="L182" s="142"/>
      <c r="M182" s="142"/>
      <c r="O182" s="142"/>
    </row>
    <row r="183" spans="1:18" ht="13.8">
      <c r="A183" s="145" t="s">
        <v>972</v>
      </c>
      <c r="B183" s="50"/>
      <c r="C183" s="48"/>
      <c r="D183" s="163">
        <f>(355815+2654)*2</f>
        <v>716938</v>
      </c>
      <c r="E183" s="163">
        <f>2606+354858+2606+357877</f>
        <v>717947</v>
      </c>
      <c r="F183" s="163">
        <f>2331+350145+2570+358750+632</f>
        <v>714428</v>
      </c>
      <c r="G183" s="163">
        <f>357767+2436+360217+2559</f>
        <v>722979</v>
      </c>
      <c r="H183" s="163">
        <f>(362949+2485)+(370885.35)+2186+2335</f>
        <v>740840.35</v>
      </c>
      <c r="I183" s="163">
        <f>(369874+2195)+(I159*0.5)</f>
        <v>744112.66735114343</v>
      </c>
      <c r="J183" s="113">
        <f t="shared" ref="J183:M185" si="187">(I159*0.5)+(J159*0.5)</f>
        <v>698808.95641027042</v>
      </c>
      <c r="K183" s="113">
        <f t="shared" si="187"/>
        <v>655094.24178495398</v>
      </c>
      <c r="L183" s="113">
        <f t="shared" si="187"/>
        <v>657600.75864060386</v>
      </c>
      <c r="M183" s="113">
        <f t="shared" si="187"/>
        <v>659487.02224040788</v>
      </c>
      <c r="O183" s="163">
        <v>728108.58586631564</v>
      </c>
      <c r="P183" s="127">
        <f t="shared" ref="P183:P186" si="188">+H183-O183</f>
        <v>12731.764133684337</v>
      </c>
      <c r="Q183" s="1550"/>
      <c r="R183" s="135"/>
    </row>
    <row r="184" spans="1:18" ht="13.8">
      <c r="A184" s="145" t="s">
        <v>973</v>
      </c>
      <c r="B184" s="50"/>
      <c r="C184" s="48"/>
      <c r="D184" s="160">
        <f>(462+64476)*2</f>
        <v>129876</v>
      </c>
      <c r="E184" s="160">
        <f>458+64370+458+65614</f>
        <v>130900</v>
      </c>
      <c r="F184" s="160">
        <f>408+64875+447+66130</f>
        <v>131860</v>
      </c>
      <c r="G184" s="160">
        <f>66055+418+64363+442</f>
        <v>131278</v>
      </c>
      <c r="H184" s="160">
        <f>(64430+430)+(66876.63)+389</f>
        <v>132125.63</v>
      </c>
      <c r="I184" s="114">
        <f>(67478+392)+(I160*0.5)</f>
        <v>134837.86012320581</v>
      </c>
      <c r="J184" s="114">
        <f t="shared" si="187"/>
        <v>125785.61215384863</v>
      </c>
      <c r="K184" s="114">
        <f t="shared" si="187"/>
        <v>117916.96352129168</v>
      </c>
      <c r="L184" s="114">
        <f t="shared" si="187"/>
        <v>118368.13655530868</v>
      </c>
      <c r="M184" s="114">
        <f t="shared" si="187"/>
        <v>118707.66400327338</v>
      </c>
      <c r="O184" s="114">
        <v>131592.12379940209</v>
      </c>
      <c r="P184" s="127">
        <f t="shared" si="188"/>
        <v>533.50620059791254</v>
      </c>
      <c r="Q184" s="1550"/>
      <c r="R184" s="135"/>
    </row>
    <row r="185" spans="1:18" ht="13.8">
      <c r="A185" s="145" t="s">
        <v>974</v>
      </c>
      <c r="B185" s="50"/>
      <c r="C185" s="48"/>
      <c r="D185" s="160">
        <f>(6857+248061)*2</f>
        <v>509836</v>
      </c>
      <c r="E185" s="160">
        <f>6933+250924+6933+240708-24</f>
        <v>505474</v>
      </c>
      <c r="F185" s="160">
        <f>6453+243157+5827+237804</f>
        <v>493241</v>
      </c>
      <c r="G185" s="160">
        <f>240992+6612+226036+6717-874</f>
        <v>479483</v>
      </c>
      <c r="H185" s="160">
        <f>(228606+6981)+(193320.56)+5982</f>
        <v>434889.56</v>
      </c>
      <c r="I185" s="114">
        <f>(197204+5982)+(I161*0.5)</f>
        <v>396648.70702259452</v>
      </c>
      <c r="J185" s="114">
        <f t="shared" si="187"/>
        <v>363380.65733334055</v>
      </c>
      <c r="K185" s="114">
        <f t="shared" si="187"/>
        <v>340649.00572817598</v>
      </c>
      <c r="L185" s="114">
        <f t="shared" si="187"/>
        <v>341952.39449311397</v>
      </c>
      <c r="M185" s="114">
        <f t="shared" si="187"/>
        <v>342933.25156501203</v>
      </c>
      <c r="O185" s="114">
        <v>416924.29293315782</v>
      </c>
      <c r="P185" s="127">
        <f t="shared" si="188"/>
        <v>17965.267066842178</v>
      </c>
      <c r="Q185" s="1550"/>
      <c r="R185" s="135"/>
    </row>
    <row r="186" spans="1:18" ht="14.4" thickBot="1">
      <c r="A186" s="145" t="s">
        <v>356</v>
      </c>
      <c r="B186" s="50"/>
      <c r="C186" s="48"/>
      <c r="D186" s="162">
        <f t="shared" ref="D186:F186" si="189">SUM(D183:D185)</f>
        <v>1356650</v>
      </c>
      <c r="E186" s="162">
        <f t="shared" si="189"/>
        <v>1354321</v>
      </c>
      <c r="F186" s="162">
        <f t="shared" si="189"/>
        <v>1339529</v>
      </c>
      <c r="G186" s="162">
        <f t="shared" ref="G186" si="190">SUM(G183:G185)</f>
        <v>1333740</v>
      </c>
      <c r="H186" s="162">
        <f t="shared" ref="H186:M186" si="191">SUM(H183:H185)</f>
        <v>1307855.54</v>
      </c>
      <c r="I186" s="112">
        <f t="shared" si="191"/>
        <v>1275599.2344969437</v>
      </c>
      <c r="J186" s="112">
        <f t="shared" si="191"/>
        <v>1187975.2258974595</v>
      </c>
      <c r="K186" s="112">
        <f t="shared" si="191"/>
        <v>1113660.2110344218</v>
      </c>
      <c r="L186" s="112">
        <f t="shared" si="191"/>
        <v>1117921.2896890265</v>
      </c>
      <c r="M186" s="112">
        <f t="shared" si="191"/>
        <v>1121127.9378086934</v>
      </c>
      <c r="O186" s="112">
        <v>1276625.0025988757</v>
      </c>
      <c r="P186" s="127">
        <f t="shared" si="188"/>
        <v>31230.537401124369</v>
      </c>
    </row>
    <row r="187" spans="1:18" ht="14.4" thickTop="1">
      <c r="A187" s="49"/>
      <c r="B187" s="48"/>
      <c r="C187" s="48"/>
      <c r="D187" s="72"/>
      <c r="E187" s="72"/>
      <c r="F187" s="72"/>
      <c r="G187" s="135"/>
      <c r="H187" s="72"/>
      <c r="I187" s="72"/>
      <c r="J187" s="72"/>
      <c r="K187" s="72"/>
      <c r="L187" s="72"/>
      <c r="M187" s="72"/>
      <c r="O187" s="72"/>
    </row>
    <row r="188" spans="1:18" ht="13.8">
      <c r="A188" s="87" t="s">
        <v>892</v>
      </c>
      <c r="B188" s="106" t="s">
        <v>346</v>
      </c>
      <c r="C188" s="48"/>
      <c r="D188" s="595" t="e">
        <f t="shared" ref="D188:E188" si="192">+D189/C153</f>
        <v>#DIV/0!</v>
      </c>
      <c r="E188" s="595">
        <f t="shared" si="192"/>
        <v>0.55315181311147521</v>
      </c>
      <c r="F188" s="595">
        <f>+F189/E153</f>
        <v>0.49667145586459915</v>
      </c>
      <c r="G188" s="595">
        <f>+G189/F153</f>
        <v>0.49783579759118513</v>
      </c>
      <c r="H188" s="72"/>
      <c r="I188" s="72"/>
      <c r="J188" s="142"/>
      <c r="K188" s="142"/>
      <c r="L188" s="142"/>
      <c r="M188" s="142"/>
      <c r="O188" s="72"/>
    </row>
    <row r="189" spans="1:18" ht="13.8">
      <c r="A189" s="145" t="s">
        <v>890</v>
      </c>
      <c r="B189" s="963">
        <v>0.4975</v>
      </c>
      <c r="C189" s="48"/>
      <c r="D189" s="161">
        <f>1068092-548325</f>
        <v>519767</v>
      </c>
      <c r="E189" s="161">
        <f>547956+993-33</f>
        <v>548916</v>
      </c>
      <c r="F189" s="161">
        <f>761+582372-2730</f>
        <v>580403</v>
      </c>
      <c r="G189" s="161">
        <f>623+655230-1884</f>
        <v>653969</v>
      </c>
      <c r="H189" s="161">
        <f>803234+428+278</f>
        <v>803940</v>
      </c>
      <c r="I189" s="161">
        <v>840707</v>
      </c>
      <c r="J189" s="66">
        <f t="shared" ref="J189:M189" si="193">ROUND(+I153-I190,0)</f>
        <v>882641</v>
      </c>
      <c r="K189" s="66">
        <f t="shared" si="193"/>
        <v>818159</v>
      </c>
      <c r="L189" s="66">
        <f t="shared" si="193"/>
        <v>854511</v>
      </c>
      <c r="M189" s="66">
        <f t="shared" si="193"/>
        <v>890861</v>
      </c>
      <c r="O189" s="161">
        <v>803940</v>
      </c>
      <c r="P189" s="127">
        <f t="shared" ref="P189:P194" si="194">+H189-O189</f>
        <v>0</v>
      </c>
    </row>
    <row r="190" spans="1:18" ht="13.8">
      <c r="A190" s="145" t="s">
        <v>891</v>
      </c>
      <c r="B190" s="963">
        <v>0.50249999999999995</v>
      </c>
      <c r="C190" s="48"/>
      <c r="D190" s="161">
        <f>2833+545492</f>
        <v>548325</v>
      </c>
      <c r="E190" s="161">
        <v>586213</v>
      </c>
      <c r="F190" s="161">
        <f>1974+658395</f>
        <v>660369</v>
      </c>
      <c r="G190" s="161">
        <f>805939+1261</f>
        <v>807200</v>
      </c>
      <c r="H190" s="1551">
        <f>850959-709</f>
        <v>850250</v>
      </c>
      <c r="I190" s="66">
        <f t="shared" ref="I190:L190" si="195">ROUND(+I153*$B190,0)</f>
        <v>891511</v>
      </c>
      <c r="J190" s="66">
        <f t="shared" si="195"/>
        <v>826383</v>
      </c>
      <c r="K190" s="66">
        <f t="shared" si="195"/>
        <v>863098</v>
      </c>
      <c r="L190" s="66">
        <f t="shared" si="195"/>
        <v>899814</v>
      </c>
      <c r="M190" s="66">
        <f t="shared" ref="M190" si="196">ROUND(+M153*$B190,0)</f>
        <v>936530</v>
      </c>
      <c r="O190" s="66">
        <v>823784</v>
      </c>
      <c r="P190" s="127">
        <f t="shared" si="194"/>
        <v>26466</v>
      </c>
      <c r="R190" s="135"/>
    </row>
    <row r="191" spans="1:18" ht="13.8">
      <c r="A191" s="145" t="s">
        <v>357</v>
      </c>
      <c r="B191" s="54">
        <v>0.8</v>
      </c>
      <c r="C191" s="48"/>
      <c r="D191" s="113">
        <v>0</v>
      </c>
      <c r="E191" s="113">
        <f t="shared" ref="E191:M191" si="197">D154*$B191</f>
        <v>0</v>
      </c>
      <c r="F191" s="113">
        <f>E154*$B191</f>
        <v>0</v>
      </c>
      <c r="G191" s="113">
        <f t="shared" si="197"/>
        <v>0</v>
      </c>
      <c r="H191" s="113">
        <f t="shared" si="197"/>
        <v>0</v>
      </c>
      <c r="I191" s="113">
        <f t="shared" si="197"/>
        <v>0</v>
      </c>
      <c r="J191" s="113">
        <f t="shared" si="197"/>
        <v>0</v>
      </c>
      <c r="K191" s="113">
        <f t="shared" si="197"/>
        <v>0</v>
      </c>
      <c r="L191" s="113">
        <f t="shared" si="197"/>
        <v>0</v>
      </c>
      <c r="M191" s="113">
        <f t="shared" si="197"/>
        <v>0</v>
      </c>
      <c r="O191" s="113">
        <v>0</v>
      </c>
      <c r="P191" s="127">
        <f t="shared" si="194"/>
        <v>0</v>
      </c>
    </row>
    <row r="192" spans="1:18" ht="13.8">
      <c r="A192" s="145" t="s">
        <v>358</v>
      </c>
      <c r="B192" s="54">
        <v>0.2</v>
      </c>
      <c r="C192" s="48"/>
      <c r="D192" s="114">
        <f t="shared" ref="D192:I192" si="198">$B192*D154</f>
        <v>0</v>
      </c>
      <c r="E192" s="114">
        <f t="shared" si="198"/>
        <v>0</v>
      </c>
      <c r="F192" s="114">
        <f t="shared" si="198"/>
        <v>0</v>
      </c>
      <c r="G192" s="114">
        <f t="shared" si="198"/>
        <v>0</v>
      </c>
      <c r="H192" s="114">
        <f t="shared" si="198"/>
        <v>0</v>
      </c>
      <c r="I192" s="114">
        <f t="shared" si="198"/>
        <v>0</v>
      </c>
      <c r="J192" s="114">
        <f>$B192*J154</f>
        <v>0</v>
      </c>
      <c r="K192" s="114">
        <f>$B192*K154</f>
        <v>0</v>
      </c>
      <c r="L192" s="114">
        <f>$B192*L154</f>
        <v>0</v>
      </c>
      <c r="M192" s="114">
        <f>$B192*M154</f>
        <v>0</v>
      </c>
      <c r="O192" s="114">
        <v>0</v>
      </c>
      <c r="P192" s="127">
        <f t="shared" si="194"/>
        <v>0</v>
      </c>
    </row>
    <row r="193" spans="1:16" ht="14.4" thickBot="1">
      <c r="A193" s="145" t="s">
        <v>359</v>
      </c>
      <c r="B193" s="48"/>
      <c r="C193" s="48"/>
      <c r="D193" s="112">
        <f t="shared" ref="D193:I193" si="199">SUM(D189:D192)</f>
        <v>1068092</v>
      </c>
      <c r="E193" s="112">
        <f t="shared" si="199"/>
        <v>1135129</v>
      </c>
      <c r="F193" s="112">
        <f t="shared" si="199"/>
        <v>1240772</v>
      </c>
      <c r="G193" s="112">
        <f t="shared" si="199"/>
        <v>1461169</v>
      </c>
      <c r="H193" s="112">
        <f t="shared" si="199"/>
        <v>1654190</v>
      </c>
      <c r="I193" s="112">
        <f t="shared" si="199"/>
        <v>1732218</v>
      </c>
      <c r="J193" s="112">
        <f>SUM(J189:J192)</f>
        <v>1709024</v>
      </c>
      <c r="K193" s="112">
        <f>SUM(K189:K192)</f>
        <v>1681257</v>
      </c>
      <c r="L193" s="112">
        <f>SUM(L189:L192)</f>
        <v>1754325</v>
      </c>
      <c r="M193" s="112">
        <f>SUM(M189:M192)</f>
        <v>1827391</v>
      </c>
      <c r="O193" s="112">
        <v>1627724</v>
      </c>
      <c r="P193" s="127">
        <f t="shared" si="194"/>
        <v>26466</v>
      </c>
    </row>
    <row r="194" spans="1:16" ht="14.4" thickTop="1">
      <c r="A194" s="1466" t="s">
        <v>1051</v>
      </c>
      <c r="B194" s="48"/>
      <c r="C194" s="48"/>
      <c r="D194" s="200">
        <f t="shared" ref="D194:K194" si="200">D180+D186+D193</f>
        <v>11448395</v>
      </c>
      <c r="E194" s="200">
        <f t="shared" si="200"/>
        <v>11719855</v>
      </c>
      <c r="F194" s="200">
        <f t="shared" si="200"/>
        <v>11738007</v>
      </c>
      <c r="G194" s="200">
        <f t="shared" si="200"/>
        <v>12220784</v>
      </c>
      <c r="H194" s="200">
        <f t="shared" si="200"/>
        <v>12827426.120000001</v>
      </c>
      <c r="I194" s="200">
        <f t="shared" si="200"/>
        <v>12831434.157125689</v>
      </c>
      <c r="J194" s="200">
        <f t="shared" si="200"/>
        <v>12553409.974255828</v>
      </c>
      <c r="K194" s="200">
        <f t="shared" si="200"/>
        <v>11978740.339542419</v>
      </c>
      <c r="L194" s="200">
        <f t="shared" ref="L194:M194" si="201">L180+L186+L193</f>
        <v>12160493.252375234</v>
      </c>
      <c r="M194" s="200">
        <f t="shared" si="201"/>
        <v>12335937.974965479</v>
      </c>
      <c r="O194" s="200">
        <v>12503435.821533732</v>
      </c>
      <c r="P194" s="127">
        <f t="shared" si="194"/>
        <v>323990.29846626893</v>
      </c>
    </row>
    <row r="195" spans="1:16" ht="13.8">
      <c r="A195" s="1466" t="s">
        <v>1052</v>
      </c>
      <c r="B195" s="48"/>
      <c r="C195" s="48"/>
      <c r="D195" s="200">
        <f>+D155</f>
        <v>11782284.372225318</v>
      </c>
      <c r="E195" s="200">
        <f t="shared" ref="E195:L195" si="202">+E155</f>
        <v>11851903.483894</v>
      </c>
      <c r="F195" s="200">
        <f t="shared" si="202"/>
        <v>11976165.83429544</v>
      </c>
      <c r="G195" s="200">
        <f t="shared" si="202"/>
        <v>12334236.758410709</v>
      </c>
      <c r="H195" s="200">
        <f t="shared" si="202"/>
        <v>12772931.190261651</v>
      </c>
      <c r="I195" s="200">
        <f t="shared" si="202"/>
        <v>12968780.374347713</v>
      </c>
      <c r="J195" s="200">
        <f t="shared" si="202"/>
        <v>11512394.232983477</v>
      </c>
      <c r="K195" s="200">
        <f t="shared" si="202"/>
        <v>11697637.466922145</v>
      </c>
      <c r="L195" s="200">
        <f t="shared" si="202"/>
        <v>11869010.114479195</v>
      </c>
      <c r="M195" s="200">
        <f t="shared" ref="M195" si="203">+M155</f>
        <v>12040579.410486575</v>
      </c>
      <c r="O195" s="200"/>
    </row>
    <row r="196" spans="1:16" ht="13.8">
      <c r="A196" s="1466" t="s">
        <v>1053</v>
      </c>
      <c r="B196" s="48"/>
      <c r="C196" s="48"/>
      <c r="D196" s="201">
        <f t="shared" ref="D196:I196" si="204">D194/D155</f>
        <v>0.97166174557690999</v>
      </c>
      <c r="E196" s="201">
        <f t="shared" si="204"/>
        <v>0.98885845770905534</v>
      </c>
      <c r="F196" s="201">
        <f t="shared" si="204"/>
        <v>0.98011393315768569</v>
      </c>
      <c r="G196" s="201">
        <f t="shared" si="204"/>
        <v>0.99080180147074393</v>
      </c>
      <c r="H196" s="201">
        <f t="shared" si="204"/>
        <v>1.0042664388405926</v>
      </c>
      <c r="I196" s="201">
        <f t="shared" si="204"/>
        <v>0.98940947311485861</v>
      </c>
      <c r="J196" s="201">
        <f>J194/J155</f>
        <v>1.0904256508424459</v>
      </c>
      <c r="K196" s="201">
        <f>K194/K155</f>
        <v>1.0240307389774352</v>
      </c>
      <c r="L196" s="201">
        <f>L194/L155</f>
        <v>1.0245583359593278</v>
      </c>
      <c r="M196" s="201">
        <f>M194/M155</f>
        <v>1.0245302617431904</v>
      </c>
      <c r="O196" s="201">
        <v>1.0043227213663104</v>
      </c>
      <c r="P196" s="127">
        <f>+H196-O196</f>
        <v>-5.6282525717765708E-5</v>
      </c>
    </row>
    <row r="197" spans="1:16" ht="13.8">
      <c r="A197" s="49"/>
      <c r="B197" s="48"/>
      <c r="C197" s="48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O197" s="142"/>
    </row>
    <row r="198" spans="1:16" ht="13.8">
      <c r="A198" s="87" t="s">
        <v>943</v>
      </c>
      <c r="B198" s="60" t="s">
        <v>250</v>
      </c>
      <c r="C198" s="48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  <c r="O198" s="142"/>
    </row>
    <row r="199" spans="1:16" ht="13.8">
      <c r="A199" s="49" t="s">
        <v>980</v>
      </c>
      <c r="B199" s="48"/>
      <c r="C199" s="48"/>
      <c r="D199" s="113"/>
      <c r="E199" s="163">
        <v>8988</v>
      </c>
      <c r="F199" s="163">
        <v>5323</v>
      </c>
      <c r="G199" s="163">
        <v>9126</v>
      </c>
      <c r="H199" s="163">
        <v>4484</v>
      </c>
      <c r="I199" s="163">
        <v>7397</v>
      </c>
      <c r="J199" s="113">
        <f t="shared" ref="J199:M199" si="205">ROUND(I199*1,0)</f>
        <v>7397</v>
      </c>
      <c r="K199" s="113">
        <f t="shared" si="205"/>
        <v>7397</v>
      </c>
      <c r="L199" s="113">
        <f t="shared" si="205"/>
        <v>7397</v>
      </c>
      <c r="M199" s="113">
        <f t="shared" si="205"/>
        <v>7397</v>
      </c>
      <c r="O199" s="163">
        <v>4484</v>
      </c>
      <c r="P199" s="127">
        <f t="shared" ref="P199:P202" si="206">+H199-O199</f>
        <v>0</v>
      </c>
    </row>
    <row r="200" spans="1:16" ht="13.8">
      <c r="A200" s="49" t="s">
        <v>981</v>
      </c>
      <c r="B200" s="48"/>
      <c r="C200" s="48"/>
      <c r="D200" s="115"/>
      <c r="E200" s="964">
        <v>25303</v>
      </c>
      <c r="F200" s="964">
        <v>23802</v>
      </c>
      <c r="G200" s="964">
        <v>20694</v>
      </c>
      <c r="H200" s="964">
        <v>23275</v>
      </c>
      <c r="I200" s="115">
        <f t="shared" ref="I200:M200" si="207">ROUND(H200*1,0)</f>
        <v>23275</v>
      </c>
      <c r="J200" s="115">
        <f t="shared" si="207"/>
        <v>23275</v>
      </c>
      <c r="K200" s="115">
        <f t="shared" si="207"/>
        <v>23275</v>
      </c>
      <c r="L200" s="115">
        <f t="shared" si="207"/>
        <v>23275</v>
      </c>
      <c r="M200" s="115">
        <f t="shared" si="207"/>
        <v>23275</v>
      </c>
      <c r="O200" s="115">
        <v>20694</v>
      </c>
      <c r="P200" s="127">
        <f t="shared" si="206"/>
        <v>2581</v>
      </c>
    </row>
    <row r="201" spans="1:16" ht="14.4" thickBot="1">
      <c r="A201" s="88" t="s">
        <v>982</v>
      </c>
      <c r="B201" s="48"/>
      <c r="C201" s="48"/>
      <c r="D201" s="112"/>
      <c r="E201" s="162">
        <v>0</v>
      </c>
      <c r="F201" s="162">
        <v>0</v>
      </c>
      <c r="G201" s="162">
        <v>0</v>
      </c>
      <c r="H201" s="112">
        <v>2622</v>
      </c>
      <c r="I201" s="112">
        <v>0</v>
      </c>
      <c r="J201" s="112">
        <v>0</v>
      </c>
      <c r="K201" s="112">
        <v>0</v>
      </c>
      <c r="L201" s="112">
        <v>0</v>
      </c>
      <c r="M201" s="112">
        <v>0</v>
      </c>
      <c r="O201" s="112">
        <v>2622</v>
      </c>
      <c r="P201" s="127">
        <f t="shared" si="206"/>
        <v>0</v>
      </c>
    </row>
    <row r="202" spans="1:16" ht="15" thickTop="1" thickBot="1">
      <c r="A202" s="88" t="s">
        <v>280</v>
      </c>
      <c r="B202" s="48"/>
      <c r="C202" s="48"/>
      <c r="D202" s="112"/>
      <c r="E202" s="112">
        <f t="shared" ref="E202:L202" si="208">SUM(E199:E201)</f>
        <v>34291</v>
      </c>
      <c r="F202" s="112">
        <f t="shared" si="208"/>
        <v>29125</v>
      </c>
      <c r="G202" s="112">
        <f t="shared" si="208"/>
        <v>29820</v>
      </c>
      <c r="H202" s="112">
        <f t="shared" si="208"/>
        <v>30381</v>
      </c>
      <c r="I202" s="112">
        <f t="shared" si="208"/>
        <v>30672</v>
      </c>
      <c r="J202" s="112">
        <f t="shared" si="208"/>
        <v>30672</v>
      </c>
      <c r="K202" s="112">
        <f t="shared" si="208"/>
        <v>30672</v>
      </c>
      <c r="L202" s="112">
        <f t="shared" si="208"/>
        <v>30672</v>
      </c>
      <c r="M202" s="112">
        <f t="shared" ref="M202" si="209">SUM(M199:M201)</f>
        <v>30672</v>
      </c>
      <c r="O202" s="112">
        <v>27800</v>
      </c>
      <c r="P202" s="127">
        <f t="shared" si="206"/>
        <v>2581</v>
      </c>
    </row>
    <row r="203" spans="1:16" ht="14.4" thickTop="1">
      <c r="A203" s="49"/>
      <c r="B203" s="48"/>
      <c r="C203" s="48"/>
      <c r="D203" s="142"/>
      <c r="E203" s="142"/>
      <c r="F203" s="142"/>
      <c r="G203" s="142"/>
      <c r="H203" s="142"/>
      <c r="I203" s="142"/>
      <c r="J203" s="142"/>
      <c r="K203" s="142"/>
      <c r="L203" s="142"/>
      <c r="M203" s="142"/>
      <c r="O203" s="142"/>
    </row>
    <row r="204" spans="1:16" ht="13.8">
      <c r="A204" s="87" t="s">
        <v>360</v>
      </c>
      <c r="B204" s="60" t="s">
        <v>250</v>
      </c>
      <c r="C204" s="48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  <c r="O204" s="142"/>
    </row>
    <row r="205" spans="1:16" ht="13.8">
      <c r="A205" s="49" t="s">
        <v>361</v>
      </c>
      <c r="B205" s="48"/>
      <c r="C205" s="48"/>
      <c r="D205" s="113"/>
      <c r="E205" s="113"/>
      <c r="F205" s="113"/>
      <c r="G205" s="113"/>
      <c r="H205" s="113">
        <v>0</v>
      </c>
      <c r="I205" s="113">
        <v>0</v>
      </c>
      <c r="J205" s="113">
        <v>0</v>
      </c>
      <c r="K205" s="113">
        <v>0</v>
      </c>
      <c r="L205" s="113">
        <v>0</v>
      </c>
      <c r="M205" s="113">
        <v>0</v>
      </c>
      <c r="O205" s="113">
        <v>0</v>
      </c>
      <c r="P205" s="127">
        <f t="shared" ref="P205:P208" si="210">+H205-O205</f>
        <v>0</v>
      </c>
    </row>
    <row r="206" spans="1:16" ht="13.8">
      <c r="A206" s="49" t="s">
        <v>362</v>
      </c>
      <c r="B206" s="48"/>
      <c r="C206" s="48"/>
      <c r="D206" s="115">
        <v>1726733</v>
      </c>
      <c r="E206" s="115">
        <v>1526594</v>
      </c>
      <c r="F206" s="115">
        <v>1329067</v>
      </c>
      <c r="G206" s="115">
        <v>1131540</v>
      </c>
      <c r="H206" s="115">
        <v>934012</v>
      </c>
      <c r="I206" s="115">
        <v>736485</v>
      </c>
      <c r="J206" s="115">
        <v>538957</v>
      </c>
      <c r="K206" s="115">
        <f>IF(J206-(0.625*(0.001*J10))&lt;0,0,(J206-(0.625*(0.001*J10))))</f>
        <v>296536.13124999998</v>
      </c>
      <c r="L206" s="115">
        <f>IF(K206-(0.625*(0.001*K10))&lt;0,0,(K206-(0.625*(0.001*K10))))</f>
        <v>49851.204531249998</v>
      </c>
      <c r="M206" s="115">
        <f>IF(L206-(0.625*(0.001*L10))&lt;0,0,(L206-(0.625*(0.001*L10))))</f>
        <v>0</v>
      </c>
      <c r="O206" s="115">
        <v>934012</v>
      </c>
      <c r="P206" s="127">
        <f t="shared" si="210"/>
        <v>0</v>
      </c>
    </row>
    <row r="207" spans="1:16" ht="14.4" thickBot="1">
      <c r="A207" s="88" t="s">
        <v>363</v>
      </c>
      <c r="B207" s="48"/>
      <c r="C207" s="48"/>
      <c r="D207" s="112">
        <f t="shared" ref="D207:G207" si="211">SUM(D205:D206)</f>
        <v>1726733</v>
      </c>
      <c r="E207" s="112">
        <f t="shared" si="211"/>
        <v>1526594</v>
      </c>
      <c r="F207" s="112">
        <f t="shared" si="211"/>
        <v>1329067</v>
      </c>
      <c r="G207" s="112">
        <f t="shared" si="211"/>
        <v>1131540</v>
      </c>
      <c r="H207" s="112">
        <f t="shared" ref="H207:M207" si="212">SUM(H205:H206)</f>
        <v>934012</v>
      </c>
      <c r="I207" s="112">
        <f t="shared" si="212"/>
        <v>736485</v>
      </c>
      <c r="J207" s="112">
        <f t="shared" si="212"/>
        <v>538957</v>
      </c>
      <c r="K207" s="112">
        <f t="shared" si="212"/>
        <v>296536.13124999998</v>
      </c>
      <c r="L207" s="112">
        <f t="shared" si="212"/>
        <v>49851.204531249998</v>
      </c>
      <c r="M207" s="112">
        <f t="shared" si="212"/>
        <v>0</v>
      </c>
      <c r="O207" s="112">
        <v>934012</v>
      </c>
      <c r="P207" s="127">
        <f t="shared" si="210"/>
        <v>0</v>
      </c>
    </row>
    <row r="208" spans="1:16" ht="14.4" thickTop="1">
      <c r="A208" s="88"/>
      <c r="B208" s="48"/>
      <c r="C208" s="48"/>
      <c r="D208" s="116"/>
      <c r="E208" s="116">
        <f>+E206-D206</f>
        <v>-200139</v>
      </c>
      <c r="F208" s="116">
        <f>+F206-E206</f>
        <v>-197527</v>
      </c>
      <c r="G208" s="116">
        <f t="shared" ref="G208:M208" si="213">+G206-F206</f>
        <v>-197527</v>
      </c>
      <c r="H208" s="116">
        <f t="shared" si="213"/>
        <v>-197528</v>
      </c>
      <c r="I208" s="116">
        <f t="shared" si="213"/>
        <v>-197527</v>
      </c>
      <c r="J208" s="116">
        <f t="shared" si="213"/>
        <v>-197528</v>
      </c>
      <c r="K208" s="116">
        <f t="shared" si="213"/>
        <v>-242420.86875000002</v>
      </c>
      <c r="L208" s="116">
        <f t="shared" si="213"/>
        <v>-246684.92671874998</v>
      </c>
      <c r="M208" s="116">
        <f t="shared" si="213"/>
        <v>-49851.204531249998</v>
      </c>
      <c r="O208" s="116">
        <v>-197528</v>
      </c>
      <c r="P208" s="127">
        <f t="shared" si="210"/>
        <v>0</v>
      </c>
    </row>
    <row r="209" spans="1:15" ht="13.8">
      <c r="A209" s="1592" t="s">
        <v>364</v>
      </c>
      <c r="B209" s="1593"/>
      <c r="C209" s="1593"/>
      <c r="D209" s="685"/>
      <c r="E209" s="685"/>
      <c r="F209" s="685"/>
      <c r="G209" s="685"/>
      <c r="H209" s="685"/>
      <c r="I209" s="685"/>
      <c r="J209" s="685"/>
      <c r="K209" s="685"/>
      <c r="L209" s="707"/>
      <c r="M209" s="1552"/>
      <c r="O209" s="1483"/>
    </row>
    <row r="210" spans="1:15" ht="13.8">
      <c r="A210" s="117" t="s">
        <v>365</v>
      </c>
      <c r="B210" s="61"/>
      <c r="C210" s="61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O210" s="142"/>
    </row>
    <row r="211" spans="1:15" ht="13.8">
      <c r="A211" s="142" t="s">
        <v>881</v>
      </c>
      <c r="B211" s="142"/>
      <c r="C211" s="142"/>
      <c r="D211" s="118">
        <v>0</v>
      </c>
      <c r="E211" s="118">
        <v>0</v>
      </c>
      <c r="F211" s="118">
        <v>0</v>
      </c>
      <c r="G211" s="118">
        <v>0</v>
      </c>
      <c r="H211" s="118">
        <v>0</v>
      </c>
      <c r="I211" s="118">
        <v>0</v>
      </c>
      <c r="J211" s="118">
        <v>0</v>
      </c>
      <c r="K211" s="118">
        <v>0</v>
      </c>
      <c r="L211" s="118">
        <v>0</v>
      </c>
      <c r="M211" s="118">
        <v>0</v>
      </c>
      <c r="O211" s="118">
        <v>0</v>
      </c>
    </row>
    <row r="212" spans="1:15" ht="13.8">
      <c r="A212" s="142" t="s">
        <v>879</v>
      </c>
      <c r="B212" s="142"/>
      <c r="C212" s="142"/>
      <c r="D212" s="119">
        <v>0</v>
      </c>
      <c r="E212" s="119">
        <v>0</v>
      </c>
      <c r="F212" s="119">
        <v>0</v>
      </c>
      <c r="G212" s="119">
        <v>0</v>
      </c>
      <c r="H212" s="119">
        <v>0</v>
      </c>
      <c r="I212" s="119">
        <v>0</v>
      </c>
      <c r="J212" s="119">
        <f>+'Levy Analysis'!L5</f>
        <v>903670.64017419796</v>
      </c>
      <c r="K212" s="119">
        <f>+'Levy Analysis'!M5</f>
        <v>1785476.3371239759</v>
      </c>
      <c r="L212" s="119">
        <f>+'Levy Analysis'!N5</f>
        <v>1785476.3371239759</v>
      </c>
      <c r="M212" s="119">
        <f>+'Levy Analysis'!O5</f>
        <v>1785476.3371239759</v>
      </c>
      <c r="O212" s="119">
        <v>0</v>
      </c>
    </row>
    <row r="213" spans="1:15" ht="13.8">
      <c r="A213" s="142" t="s">
        <v>880</v>
      </c>
      <c r="B213" s="142"/>
      <c r="C213" s="142"/>
      <c r="D213" s="119">
        <v>0</v>
      </c>
      <c r="E213" s="119">
        <v>0</v>
      </c>
      <c r="F213" s="119">
        <v>0</v>
      </c>
      <c r="G213" s="119">
        <v>0</v>
      </c>
      <c r="H213" s="119">
        <v>0</v>
      </c>
      <c r="I213" s="119">
        <v>0</v>
      </c>
      <c r="J213" s="119">
        <v>0</v>
      </c>
      <c r="K213" s="119">
        <v>0</v>
      </c>
      <c r="L213" s="119">
        <v>0</v>
      </c>
      <c r="M213" s="119">
        <v>0</v>
      </c>
      <c r="O213" s="119">
        <v>0</v>
      </c>
    </row>
    <row r="214" spans="1:15" ht="13.8">
      <c r="A214" s="142" t="s">
        <v>366</v>
      </c>
      <c r="B214" s="142"/>
      <c r="C214" s="142"/>
      <c r="D214" s="119">
        <v>0</v>
      </c>
      <c r="E214" s="119">
        <v>0</v>
      </c>
      <c r="F214" s="119">
        <v>0</v>
      </c>
      <c r="G214" s="119">
        <v>0</v>
      </c>
      <c r="H214" s="119">
        <v>0</v>
      </c>
      <c r="I214" s="119">
        <v>0</v>
      </c>
      <c r="J214" s="119">
        <v>0</v>
      </c>
      <c r="K214" s="119">
        <v>0</v>
      </c>
      <c r="L214" s="119">
        <v>0</v>
      </c>
      <c r="M214" s="119">
        <v>0</v>
      </c>
      <c r="O214" s="119">
        <v>0</v>
      </c>
    </row>
    <row r="215" spans="1:15" ht="14.4" thickBot="1">
      <c r="A215" s="142" t="s">
        <v>367</v>
      </c>
      <c r="B215" s="142"/>
      <c r="C215" s="142"/>
      <c r="D215" s="120">
        <v>0</v>
      </c>
      <c r="E215" s="120">
        <f t="shared" ref="E215:M215" si="214">SUM(E211:E214)+D215</f>
        <v>0</v>
      </c>
      <c r="F215" s="120">
        <f>SUM(F211:F214)+E215</f>
        <v>0</v>
      </c>
      <c r="G215" s="120">
        <f t="shared" si="214"/>
        <v>0</v>
      </c>
      <c r="H215" s="120">
        <f t="shared" si="214"/>
        <v>0</v>
      </c>
      <c r="I215" s="120">
        <f t="shared" si="214"/>
        <v>0</v>
      </c>
      <c r="J215" s="120">
        <f t="shared" si="214"/>
        <v>903670.64017419796</v>
      </c>
      <c r="K215" s="120">
        <f t="shared" si="214"/>
        <v>2689146.9772981741</v>
      </c>
      <c r="L215" s="120">
        <f t="shared" si="214"/>
        <v>4474623.3144221501</v>
      </c>
      <c r="M215" s="120">
        <f t="shared" si="214"/>
        <v>6260099.6515461262</v>
      </c>
      <c r="O215" s="120">
        <v>0</v>
      </c>
    </row>
    <row r="216" spans="1:15" ht="14.4" thickTop="1">
      <c r="A216" s="142"/>
      <c r="B216" s="142"/>
      <c r="C216" s="142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  <c r="O216" s="142"/>
    </row>
    <row r="217" spans="1:15" ht="13.8">
      <c r="A217" s="117" t="s">
        <v>368</v>
      </c>
      <c r="B217" s="142"/>
      <c r="C217" s="142"/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  <c r="O217" s="142"/>
    </row>
    <row r="218" spans="1:15" ht="13.8">
      <c r="A218" s="142" t="s">
        <v>369</v>
      </c>
      <c r="B218" s="142"/>
      <c r="C218" s="142"/>
      <c r="D218" s="118">
        <v>0</v>
      </c>
      <c r="E218" s="118">
        <v>0</v>
      </c>
      <c r="F218" s="118">
        <v>0</v>
      </c>
      <c r="G218" s="118">
        <v>0</v>
      </c>
      <c r="H218" s="118">
        <v>0</v>
      </c>
      <c r="I218" s="118">
        <v>0</v>
      </c>
      <c r="J218" s="118">
        <v>0</v>
      </c>
      <c r="K218" s="118">
        <v>0</v>
      </c>
      <c r="L218" s="118">
        <v>0</v>
      </c>
      <c r="M218" s="118">
        <v>0</v>
      </c>
      <c r="O218" s="118">
        <v>0</v>
      </c>
    </row>
    <row r="219" spans="1:15" ht="13.8">
      <c r="A219" s="142" t="s">
        <v>370</v>
      </c>
      <c r="B219" s="142"/>
      <c r="C219" s="142"/>
      <c r="D219" s="119">
        <v>0</v>
      </c>
      <c r="E219" s="119">
        <v>0</v>
      </c>
      <c r="F219" s="119">
        <v>0</v>
      </c>
      <c r="G219" s="119">
        <v>0</v>
      </c>
      <c r="H219" s="119">
        <v>0</v>
      </c>
      <c r="I219" s="119">
        <v>0</v>
      </c>
      <c r="J219" s="119">
        <f>+'Levy Analysis'!L6</f>
        <v>0</v>
      </c>
      <c r="K219" s="119">
        <f>+'Levy Analysis'!M6</f>
        <v>0</v>
      </c>
      <c r="L219" s="119">
        <f>+'Levy Analysis'!N6</f>
        <v>0</v>
      </c>
      <c r="M219" s="119">
        <f>+'Levy Analysis'!O6</f>
        <v>0</v>
      </c>
      <c r="O219" s="119">
        <v>0</v>
      </c>
    </row>
    <row r="220" spans="1:15" ht="14.4" thickBot="1">
      <c r="A220" s="142" t="s">
        <v>371</v>
      </c>
      <c r="B220" s="142"/>
      <c r="C220" s="142"/>
      <c r="D220" s="120">
        <v>0</v>
      </c>
      <c r="E220" s="120">
        <f t="shared" ref="E220:M220" si="215">SUM(E218:E219)+D220</f>
        <v>0</v>
      </c>
      <c r="F220" s="120">
        <f>SUM(F218:F219)+E220</f>
        <v>0</v>
      </c>
      <c r="G220" s="120">
        <f t="shared" si="215"/>
        <v>0</v>
      </c>
      <c r="H220" s="120">
        <f t="shared" si="215"/>
        <v>0</v>
      </c>
      <c r="I220" s="120">
        <f t="shared" si="215"/>
        <v>0</v>
      </c>
      <c r="J220" s="120">
        <f t="shared" si="215"/>
        <v>0</v>
      </c>
      <c r="K220" s="120">
        <f t="shared" si="215"/>
        <v>0</v>
      </c>
      <c r="L220" s="120">
        <f t="shared" si="215"/>
        <v>0</v>
      </c>
      <c r="M220" s="120">
        <f t="shared" si="215"/>
        <v>0</v>
      </c>
      <c r="O220" s="120">
        <v>0</v>
      </c>
    </row>
    <row r="221" spans="1:15" ht="14.4" thickTop="1">
      <c r="A221" s="142"/>
      <c r="B221" s="142"/>
      <c r="C221" s="142"/>
      <c r="D221" s="142" t="s">
        <v>309</v>
      </c>
      <c r="E221" s="142" t="s">
        <v>309</v>
      </c>
      <c r="F221" s="142" t="s">
        <v>309</v>
      </c>
      <c r="G221" s="142" t="s">
        <v>309</v>
      </c>
      <c r="H221" s="142" t="s">
        <v>309</v>
      </c>
      <c r="I221" s="142" t="s">
        <v>309</v>
      </c>
      <c r="J221" s="142" t="s">
        <v>309</v>
      </c>
      <c r="K221" s="142" t="s">
        <v>309</v>
      </c>
      <c r="L221" s="142" t="s">
        <v>309</v>
      </c>
      <c r="M221" s="142" t="s">
        <v>309</v>
      </c>
      <c r="O221" s="142" t="s">
        <v>309</v>
      </c>
    </row>
    <row r="222" spans="1:15" ht="13.8">
      <c r="A222" s="142"/>
      <c r="B222" s="142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O222" s="142"/>
    </row>
    <row r="223" spans="1:15" ht="13.8">
      <c r="A223" s="142"/>
      <c r="B223" s="142"/>
      <c r="C223" s="142"/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  <c r="O223" s="142"/>
    </row>
    <row r="224" spans="1:15" ht="13.8">
      <c r="A224" s="142"/>
      <c r="B224" s="142"/>
      <c r="C224" s="142"/>
      <c r="D224" s="142"/>
      <c r="E224" s="142"/>
      <c r="F224" s="142"/>
      <c r="G224" s="142"/>
      <c r="H224" s="142"/>
      <c r="I224" s="142"/>
      <c r="J224" s="142"/>
      <c r="K224" s="142"/>
      <c r="L224" s="142"/>
      <c r="M224" s="142"/>
      <c r="O224" s="142"/>
    </row>
    <row r="225" spans="1:15" ht="13.8">
      <c r="A225" s="142"/>
      <c r="B225" s="142"/>
      <c r="C225" s="142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  <c r="O225" s="142"/>
    </row>
    <row r="226" spans="1:15" ht="13.8">
      <c r="A226" s="142"/>
      <c r="B226" s="142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  <c r="O226" s="142"/>
    </row>
    <row r="227" spans="1:15" ht="13.8">
      <c r="A227" s="142"/>
      <c r="B227" s="142"/>
      <c r="C227" s="142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  <c r="O227" s="142"/>
    </row>
    <row r="228" spans="1:15" ht="13.8">
      <c r="A228" s="142"/>
      <c r="B228" s="142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O228" s="142"/>
    </row>
    <row r="229" spans="1:15" ht="13.8">
      <c r="A229" s="142"/>
      <c r="B229" s="142"/>
      <c r="C229" s="142"/>
      <c r="D229" s="142"/>
      <c r="E229" s="142"/>
      <c r="F229" s="142"/>
      <c r="G229" s="142"/>
      <c r="H229" s="142"/>
      <c r="I229" s="142"/>
      <c r="J229" s="142"/>
      <c r="K229" s="142"/>
      <c r="L229" s="142"/>
      <c r="M229" s="142"/>
      <c r="O229" s="142"/>
    </row>
    <row r="230" spans="1:15" ht="13.8">
      <c r="A230" s="142"/>
      <c r="B230" s="142"/>
      <c r="C230" s="142"/>
      <c r="D230" s="142"/>
      <c r="E230" s="142"/>
      <c r="F230" s="142"/>
      <c r="G230" s="142"/>
      <c r="H230" s="142"/>
      <c r="I230" s="142"/>
      <c r="J230" s="142"/>
      <c r="K230" s="142"/>
      <c r="L230" s="142"/>
      <c r="M230" s="142"/>
      <c r="O230" s="142"/>
    </row>
    <row r="231" spans="1:15" ht="13.8">
      <c r="A231" s="142"/>
      <c r="B231" s="142"/>
      <c r="C231" s="142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  <c r="O231" s="142"/>
    </row>
    <row r="232" spans="1:15" ht="13.8">
      <c r="A232" s="142"/>
      <c r="B232" s="142"/>
      <c r="C232" s="142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  <c r="O232" s="142"/>
    </row>
    <row r="233" spans="1:15" ht="13.8">
      <c r="A233" s="142"/>
      <c r="B233" s="142"/>
      <c r="C233" s="142"/>
      <c r="D233" s="142"/>
      <c r="E233" s="142"/>
      <c r="F233" s="142"/>
      <c r="G233" s="142"/>
      <c r="H233" s="142"/>
      <c r="I233" s="142"/>
      <c r="J233" s="142"/>
      <c r="K233" s="142"/>
      <c r="L233" s="142"/>
      <c r="M233" s="142"/>
      <c r="O233" s="142"/>
    </row>
    <row r="234" spans="1:15" ht="13.8">
      <c r="A234" s="142"/>
      <c r="B234" s="142"/>
      <c r="C234" s="142"/>
      <c r="D234" s="142"/>
      <c r="E234" s="142"/>
      <c r="F234" s="142"/>
      <c r="G234" s="142"/>
      <c r="H234" s="142"/>
      <c r="I234" s="142"/>
      <c r="J234" s="142"/>
      <c r="K234" s="142"/>
      <c r="L234" s="142"/>
      <c r="M234" s="142"/>
      <c r="O234" s="142"/>
    </row>
    <row r="235" spans="1:15" ht="13.8">
      <c r="A235" s="142"/>
      <c r="B235" s="142"/>
      <c r="C235" s="142"/>
      <c r="D235" s="142"/>
      <c r="E235" s="142"/>
      <c r="F235" s="142"/>
      <c r="G235" s="142"/>
      <c r="H235" s="142"/>
      <c r="I235" s="142"/>
      <c r="J235" s="142"/>
      <c r="K235" s="142"/>
      <c r="L235" s="142"/>
      <c r="M235" s="142"/>
      <c r="O235" s="142"/>
    </row>
    <row r="236" spans="1:15" ht="13.8">
      <c r="A236" s="142"/>
      <c r="B236" s="142"/>
      <c r="C236" s="142"/>
      <c r="D236" s="142"/>
      <c r="E236" s="142"/>
      <c r="F236" s="142"/>
      <c r="G236" s="142"/>
      <c r="H236" s="142"/>
      <c r="I236" s="142"/>
      <c r="J236" s="142"/>
      <c r="K236" s="142"/>
      <c r="L236" s="142"/>
      <c r="M236" s="142"/>
      <c r="O236" s="142"/>
    </row>
    <row r="237" spans="1:15" ht="13.8">
      <c r="A237" s="142"/>
      <c r="B237" s="142"/>
      <c r="C237" s="142"/>
      <c r="D237" s="142"/>
      <c r="E237" s="142"/>
      <c r="F237" s="142"/>
      <c r="G237" s="142"/>
      <c r="H237" s="142"/>
      <c r="I237" s="142"/>
      <c r="J237" s="142"/>
      <c r="K237" s="142"/>
      <c r="L237" s="142"/>
      <c r="M237" s="142"/>
      <c r="O237" s="142"/>
    </row>
    <row r="238" spans="1:15" ht="13.8">
      <c r="A238" s="142"/>
      <c r="B238" s="142"/>
      <c r="C238" s="142"/>
      <c r="D238" s="142"/>
      <c r="E238" s="142"/>
      <c r="F238" s="142"/>
      <c r="G238" s="142"/>
      <c r="H238" s="142"/>
      <c r="I238" s="142"/>
      <c r="J238" s="142"/>
      <c r="K238" s="142"/>
      <c r="L238" s="142"/>
      <c r="M238" s="142"/>
      <c r="O238" s="142"/>
    </row>
    <row r="239" spans="1:15" ht="13.8">
      <c r="A239" s="142"/>
      <c r="B239" s="142"/>
      <c r="C239" s="142"/>
      <c r="D239" s="142"/>
      <c r="E239" s="142"/>
      <c r="F239" s="142"/>
      <c r="G239" s="142"/>
      <c r="H239" s="142"/>
      <c r="I239" s="142"/>
      <c r="J239" s="142"/>
      <c r="K239" s="142"/>
      <c r="L239" s="142"/>
      <c r="M239" s="142"/>
      <c r="O239" s="142"/>
    </row>
    <row r="240" spans="1:15" ht="13.8">
      <c r="A240" s="142"/>
      <c r="B240" s="142"/>
      <c r="C240" s="142"/>
      <c r="D240" s="142"/>
      <c r="E240" s="142"/>
      <c r="F240" s="142"/>
      <c r="G240" s="142"/>
      <c r="H240" s="142"/>
      <c r="I240" s="142"/>
      <c r="J240" s="142"/>
      <c r="K240" s="142"/>
      <c r="L240" s="142"/>
      <c r="M240" s="142"/>
      <c r="O240" s="142"/>
    </row>
    <row r="241" spans="1:15" ht="13.8">
      <c r="A241" s="142"/>
      <c r="B241" s="142"/>
      <c r="C241" s="142"/>
      <c r="D241" s="142"/>
      <c r="E241" s="142"/>
      <c r="F241" s="142"/>
      <c r="G241" s="142"/>
      <c r="H241" s="142"/>
      <c r="I241" s="142"/>
      <c r="J241" s="142"/>
      <c r="K241" s="142"/>
      <c r="L241" s="142"/>
      <c r="M241" s="142"/>
      <c r="O241" s="142"/>
    </row>
    <row r="242" spans="1:15" ht="13.8">
      <c r="A242" s="142"/>
      <c r="B242" s="142"/>
      <c r="C242" s="142"/>
      <c r="D242" s="142"/>
      <c r="E242" s="142"/>
      <c r="F242" s="142"/>
      <c r="G242" s="142"/>
      <c r="H242" s="142"/>
      <c r="I242" s="142"/>
      <c r="J242" s="142"/>
      <c r="K242" s="142"/>
      <c r="L242" s="142"/>
      <c r="M242" s="142"/>
      <c r="O242" s="142"/>
    </row>
    <row r="243" spans="1:15" ht="13.8">
      <c r="A243" s="142"/>
      <c r="B243" s="142"/>
      <c r="C243" s="142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  <c r="O243" s="142"/>
    </row>
    <row r="244" spans="1:15" ht="13.8">
      <c r="A244" s="142"/>
      <c r="B244" s="142"/>
      <c r="C244" s="142"/>
      <c r="D244" s="142"/>
      <c r="E244" s="142"/>
      <c r="F244" s="142"/>
      <c r="G244" s="142"/>
      <c r="H244" s="142"/>
      <c r="I244" s="142"/>
      <c r="J244" s="142"/>
      <c r="K244" s="142"/>
      <c r="L244" s="142"/>
      <c r="M244" s="142"/>
      <c r="O244" s="142"/>
    </row>
    <row r="245" spans="1:15" ht="13.8">
      <c r="A245" s="142"/>
      <c r="B245" s="142"/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  <c r="O245" s="142"/>
    </row>
    <row r="246" spans="1:15" ht="13.8">
      <c r="A246" s="142"/>
      <c r="B246" s="142"/>
      <c r="C246" s="142"/>
      <c r="D246" s="142"/>
      <c r="E246" s="142"/>
      <c r="F246" s="142"/>
      <c r="G246" s="142"/>
      <c r="H246" s="142"/>
      <c r="I246" s="142"/>
      <c r="J246" s="142"/>
      <c r="K246" s="142"/>
      <c r="L246" s="142"/>
      <c r="M246" s="142"/>
      <c r="O246" s="142"/>
    </row>
    <row r="247" spans="1:15" ht="13.8">
      <c r="A247" s="142"/>
      <c r="B247" s="142"/>
      <c r="C247" s="142"/>
      <c r="D247" s="142"/>
      <c r="E247" s="142"/>
      <c r="F247" s="142"/>
      <c r="G247" s="142"/>
      <c r="H247" s="142"/>
      <c r="I247" s="142"/>
      <c r="J247" s="142"/>
      <c r="K247" s="142"/>
      <c r="L247" s="142"/>
      <c r="M247" s="142"/>
      <c r="O247" s="142"/>
    </row>
    <row r="248" spans="1:15" ht="13.8">
      <c r="A248" s="142"/>
      <c r="B248" s="142"/>
      <c r="C248" s="142"/>
      <c r="D248" s="142"/>
      <c r="E248" s="142"/>
      <c r="F248" s="142"/>
      <c r="G248" s="142"/>
      <c r="H248" s="142"/>
      <c r="I248" s="142"/>
      <c r="J248" s="142"/>
      <c r="K248" s="142"/>
      <c r="L248" s="142"/>
      <c r="M248" s="142"/>
      <c r="O248" s="142"/>
    </row>
    <row r="249" spans="1:15" ht="13.8">
      <c r="A249" s="142"/>
      <c r="B249" s="142"/>
      <c r="C249" s="142"/>
      <c r="D249" s="142"/>
      <c r="E249" s="142"/>
      <c r="F249" s="142"/>
      <c r="G249" s="142"/>
      <c r="H249" s="142"/>
      <c r="I249" s="142"/>
      <c r="J249" s="142"/>
      <c r="K249" s="142"/>
      <c r="L249" s="142"/>
      <c r="M249" s="142"/>
      <c r="O249" s="142"/>
    </row>
    <row r="250" spans="1:15" ht="13.8">
      <c r="A250" s="142"/>
      <c r="B250" s="142"/>
      <c r="C250" s="142"/>
      <c r="D250" s="142"/>
      <c r="E250" s="142"/>
      <c r="F250" s="142"/>
      <c r="G250" s="142"/>
      <c r="H250" s="142"/>
      <c r="I250" s="142"/>
      <c r="J250" s="142"/>
      <c r="K250" s="142"/>
      <c r="L250" s="142"/>
      <c r="M250" s="142"/>
      <c r="O250" s="142"/>
    </row>
    <row r="251" spans="1:15" ht="13.8">
      <c r="A251" s="142"/>
      <c r="B251" s="142"/>
      <c r="C251" s="142"/>
      <c r="D251" s="142"/>
      <c r="E251" s="142"/>
      <c r="F251" s="142"/>
      <c r="G251" s="142"/>
      <c r="H251" s="142"/>
      <c r="I251" s="142"/>
      <c r="J251" s="142"/>
      <c r="K251" s="142"/>
      <c r="L251" s="142"/>
      <c r="M251" s="142"/>
      <c r="O251" s="142"/>
    </row>
    <row r="252" spans="1:15" ht="13.8">
      <c r="A252" s="142"/>
      <c r="B252" s="142"/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O252" s="142"/>
    </row>
    <row r="253" spans="1:15" ht="13.8">
      <c r="A253" s="142"/>
      <c r="B253" s="142"/>
      <c r="C253" s="142"/>
      <c r="D253" s="142"/>
      <c r="E253" s="142"/>
      <c r="F253" s="142"/>
      <c r="G253" s="142"/>
      <c r="H253" s="142"/>
      <c r="I253" s="142"/>
      <c r="J253" s="142"/>
      <c r="K253" s="142"/>
      <c r="L253" s="142"/>
      <c r="M253" s="142"/>
      <c r="O253" s="142"/>
    </row>
    <row r="254" spans="1:15" ht="13.8">
      <c r="A254" s="142"/>
      <c r="B254" s="142"/>
      <c r="C254" s="142"/>
      <c r="D254" s="142"/>
      <c r="E254" s="142"/>
      <c r="F254" s="142"/>
      <c r="G254" s="142"/>
      <c r="H254" s="142"/>
      <c r="I254" s="142"/>
      <c r="J254" s="142"/>
      <c r="K254" s="142"/>
      <c r="L254" s="142"/>
      <c r="M254" s="142"/>
      <c r="O254" s="142"/>
    </row>
    <row r="255" spans="1:15" ht="13.8">
      <c r="A255" s="142"/>
      <c r="B255" s="14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O255" s="142"/>
    </row>
    <row r="256" spans="1:15" ht="13.8">
      <c r="A256" s="142"/>
      <c r="B256" s="142"/>
      <c r="C256" s="142"/>
      <c r="D256" s="142"/>
      <c r="E256" s="142"/>
      <c r="F256" s="142"/>
      <c r="G256" s="142"/>
      <c r="H256" s="142"/>
      <c r="I256" s="142"/>
      <c r="J256" s="142"/>
      <c r="K256" s="142"/>
      <c r="L256" s="142"/>
      <c r="M256" s="142"/>
      <c r="O256" s="142"/>
    </row>
    <row r="257" spans="1:15" ht="13.8">
      <c r="A257" s="142"/>
      <c r="B257" s="142"/>
      <c r="C257" s="142"/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  <c r="O257" s="142"/>
    </row>
    <row r="258" spans="1:15" ht="13.8">
      <c r="A258" s="142"/>
      <c r="B258" s="142"/>
      <c r="C258" s="142"/>
      <c r="D258" s="142"/>
      <c r="E258" s="142"/>
      <c r="F258" s="142"/>
      <c r="G258" s="142"/>
      <c r="H258" s="142"/>
      <c r="I258" s="142"/>
      <c r="J258" s="142"/>
      <c r="K258" s="142"/>
      <c r="L258" s="142"/>
      <c r="M258" s="142"/>
      <c r="O258" s="142"/>
    </row>
    <row r="259" spans="1:15" ht="13.8">
      <c r="A259" s="142"/>
      <c r="B259" s="142"/>
      <c r="C259" s="142"/>
      <c r="D259" s="142"/>
      <c r="E259" s="142"/>
      <c r="F259" s="142"/>
      <c r="G259" s="142"/>
      <c r="H259" s="142"/>
      <c r="I259" s="142"/>
      <c r="J259" s="142"/>
      <c r="K259" s="142"/>
      <c r="L259" s="142"/>
      <c r="M259" s="142"/>
      <c r="O259" s="142"/>
    </row>
    <row r="260" spans="1:15" ht="13.8">
      <c r="A260" s="142"/>
      <c r="B260" s="142"/>
      <c r="C260" s="142"/>
      <c r="D260" s="142"/>
      <c r="E260" s="142"/>
      <c r="F260" s="142"/>
      <c r="G260" s="142"/>
      <c r="H260" s="142"/>
      <c r="I260" s="142"/>
      <c r="J260" s="142"/>
      <c r="K260" s="142"/>
      <c r="L260" s="142"/>
      <c r="M260" s="142"/>
      <c r="O260" s="142"/>
    </row>
    <row r="261" spans="1:15" ht="13.8">
      <c r="A261" s="142"/>
      <c r="B261" s="142"/>
      <c r="C261" s="142"/>
      <c r="D261" s="142"/>
      <c r="E261" s="142"/>
      <c r="F261" s="142"/>
      <c r="G261" s="142"/>
      <c r="H261" s="142"/>
      <c r="I261" s="142"/>
      <c r="J261" s="142"/>
      <c r="K261" s="142"/>
      <c r="L261" s="142"/>
      <c r="M261" s="142"/>
      <c r="O261" s="142"/>
    </row>
    <row r="262" spans="1:15" ht="13.8">
      <c r="A262" s="142"/>
      <c r="B262" s="142"/>
      <c r="C262" s="142"/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  <c r="O262" s="142"/>
    </row>
    <row r="263" spans="1:15" ht="13.8">
      <c r="A263" s="142"/>
      <c r="B263" s="142"/>
      <c r="C263" s="142"/>
      <c r="D263" s="142"/>
      <c r="E263" s="142"/>
      <c r="F263" s="142"/>
      <c r="G263" s="142"/>
      <c r="H263" s="142"/>
      <c r="I263" s="142"/>
      <c r="J263" s="142"/>
      <c r="K263" s="142"/>
      <c r="L263" s="142"/>
      <c r="M263" s="142"/>
      <c r="O263" s="142"/>
    </row>
    <row r="264" spans="1:15" ht="13.8">
      <c r="A264" s="142"/>
      <c r="B264" s="142"/>
      <c r="C264" s="142"/>
      <c r="D264" s="142"/>
      <c r="E264" s="142"/>
      <c r="F264" s="142"/>
      <c r="G264" s="142"/>
      <c r="H264" s="142"/>
      <c r="I264" s="142"/>
      <c r="J264" s="142"/>
      <c r="K264" s="142"/>
      <c r="L264" s="142"/>
      <c r="M264" s="142"/>
      <c r="O264" s="142"/>
    </row>
    <row r="265" spans="1:15" ht="13.8">
      <c r="A265" s="142"/>
      <c r="B265" s="142"/>
      <c r="C265" s="142"/>
      <c r="D265" s="142"/>
      <c r="E265" s="142"/>
      <c r="F265" s="142"/>
      <c r="G265" s="142"/>
      <c r="H265" s="142"/>
      <c r="I265" s="142"/>
      <c r="J265" s="142"/>
      <c r="K265" s="142"/>
      <c r="L265" s="142"/>
      <c r="M265" s="142"/>
      <c r="O265" s="142"/>
    </row>
    <row r="266" spans="1:15" ht="13.8">
      <c r="A266" s="142"/>
      <c r="B266" s="142"/>
      <c r="C266" s="142"/>
      <c r="D266" s="142"/>
      <c r="E266" s="142"/>
      <c r="F266" s="142"/>
      <c r="G266" s="142"/>
      <c r="H266" s="142"/>
      <c r="I266" s="142"/>
      <c r="J266" s="142"/>
      <c r="K266" s="142"/>
      <c r="L266" s="142"/>
      <c r="M266" s="142"/>
      <c r="O266" s="142"/>
    </row>
    <row r="267" spans="1:15" ht="13.8">
      <c r="A267" s="142"/>
      <c r="B267" s="142"/>
      <c r="C267" s="142"/>
      <c r="D267" s="142"/>
      <c r="E267" s="142"/>
      <c r="F267" s="142"/>
      <c r="G267" s="142"/>
      <c r="H267" s="142"/>
      <c r="I267" s="142"/>
      <c r="J267" s="142"/>
      <c r="K267" s="142"/>
      <c r="L267" s="142"/>
      <c r="M267" s="142"/>
      <c r="O267" s="142"/>
    </row>
    <row r="268" spans="1:15" ht="13.8">
      <c r="A268" s="142"/>
      <c r="B268" s="142"/>
      <c r="C268" s="142"/>
      <c r="D268" s="142"/>
      <c r="E268" s="142"/>
      <c r="F268" s="142"/>
      <c r="G268" s="142"/>
      <c r="H268" s="142"/>
      <c r="I268" s="142"/>
      <c r="J268" s="142"/>
      <c r="K268" s="142"/>
      <c r="L268" s="142"/>
      <c r="M268" s="142"/>
      <c r="O268" s="142"/>
    </row>
    <row r="269" spans="1:15" ht="13.8">
      <c r="A269" s="142"/>
      <c r="B269" s="142"/>
      <c r="C269" s="142"/>
      <c r="D269" s="142"/>
      <c r="E269" s="142"/>
      <c r="F269" s="142"/>
      <c r="G269" s="142"/>
      <c r="H269" s="142"/>
      <c r="I269" s="142"/>
      <c r="J269" s="142"/>
      <c r="K269" s="142"/>
      <c r="L269" s="142"/>
      <c r="M269" s="142"/>
      <c r="O269" s="142"/>
    </row>
    <row r="270" spans="1:15" ht="13.8">
      <c r="A270" s="142"/>
      <c r="B270" s="142"/>
      <c r="C270" s="142"/>
      <c r="D270" s="142"/>
      <c r="E270" s="142"/>
      <c r="F270" s="142"/>
      <c r="G270" s="142"/>
      <c r="H270" s="142"/>
      <c r="I270" s="142"/>
      <c r="J270" s="142"/>
      <c r="K270" s="142"/>
      <c r="L270" s="142"/>
      <c r="M270" s="142"/>
      <c r="O270" s="142"/>
    </row>
    <row r="271" spans="1:15" ht="13.8">
      <c r="A271" s="142"/>
      <c r="B271" s="142"/>
      <c r="C271" s="142"/>
      <c r="D271" s="142"/>
      <c r="E271" s="142"/>
      <c r="F271" s="142"/>
      <c r="G271" s="142"/>
      <c r="H271" s="142"/>
      <c r="I271" s="142"/>
      <c r="J271" s="142"/>
      <c r="K271" s="142"/>
      <c r="L271" s="142"/>
      <c r="M271" s="142"/>
      <c r="O271" s="142"/>
    </row>
    <row r="272" spans="1:15" ht="13.8">
      <c r="A272" s="142"/>
      <c r="B272" s="142"/>
      <c r="C272" s="142"/>
      <c r="D272" s="142"/>
      <c r="E272" s="142"/>
      <c r="F272" s="142"/>
      <c r="G272" s="142"/>
      <c r="H272" s="142"/>
      <c r="I272" s="142"/>
      <c r="J272" s="142"/>
      <c r="K272" s="142"/>
      <c r="L272" s="142"/>
      <c r="M272" s="142"/>
      <c r="O272" s="142"/>
    </row>
    <row r="273" spans="1:15" ht="13.8">
      <c r="A273" s="142"/>
      <c r="B273" s="142"/>
      <c r="C273" s="142"/>
      <c r="D273" s="142"/>
      <c r="E273" s="142"/>
      <c r="F273" s="142"/>
      <c r="G273" s="142"/>
      <c r="H273" s="142"/>
      <c r="I273" s="142"/>
      <c r="J273" s="142"/>
      <c r="K273" s="142"/>
      <c r="L273" s="142"/>
      <c r="M273" s="142"/>
      <c r="O273" s="142"/>
    </row>
    <row r="274" spans="1:15" ht="13.8">
      <c r="A274" s="142"/>
      <c r="B274" s="142"/>
      <c r="C274" s="142"/>
      <c r="D274" s="142"/>
      <c r="E274" s="142"/>
      <c r="F274" s="142"/>
      <c r="G274" s="142"/>
      <c r="H274" s="142"/>
      <c r="I274" s="142"/>
      <c r="J274" s="142"/>
      <c r="K274" s="142"/>
      <c r="L274" s="142"/>
      <c r="M274" s="142"/>
      <c r="O274" s="142"/>
    </row>
    <row r="275" spans="1:15" ht="13.8">
      <c r="A275" s="142"/>
      <c r="B275" s="142"/>
      <c r="C275" s="142"/>
      <c r="D275" s="142"/>
      <c r="E275" s="142"/>
      <c r="F275" s="142"/>
      <c r="G275" s="142"/>
      <c r="H275" s="142"/>
      <c r="I275" s="142"/>
      <c r="J275" s="142"/>
      <c r="K275" s="142"/>
      <c r="L275" s="142"/>
      <c r="M275" s="142"/>
      <c r="O275" s="142"/>
    </row>
    <row r="276" spans="1:15" ht="13.8">
      <c r="A276" s="142"/>
      <c r="B276" s="142"/>
      <c r="C276" s="142"/>
      <c r="D276" s="142"/>
      <c r="E276" s="142"/>
      <c r="F276" s="142"/>
      <c r="G276" s="142"/>
      <c r="H276" s="142"/>
      <c r="I276" s="142"/>
      <c r="J276" s="142"/>
      <c r="K276" s="142"/>
      <c r="L276" s="142"/>
      <c r="M276" s="142"/>
      <c r="O276" s="142"/>
    </row>
    <row r="277" spans="1:15" ht="13.8">
      <c r="A277" s="142"/>
      <c r="B277" s="142"/>
      <c r="C277" s="142"/>
      <c r="D277" s="142"/>
      <c r="E277" s="142"/>
      <c r="F277" s="142"/>
      <c r="G277" s="142"/>
      <c r="H277" s="142"/>
      <c r="I277" s="142"/>
      <c r="J277" s="142"/>
      <c r="K277" s="142"/>
      <c r="L277" s="142"/>
      <c r="M277" s="142"/>
      <c r="O277" s="142"/>
    </row>
    <row r="278" spans="1:15" ht="13.8">
      <c r="A278" s="142"/>
      <c r="B278" s="142"/>
      <c r="C278" s="142"/>
      <c r="D278" s="142"/>
      <c r="E278" s="142"/>
      <c r="F278" s="142"/>
      <c r="G278" s="142"/>
      <c r="H278" s="142"/>
      <c r="I278" s="142"/>
      <c r="J278" s="142"/>
      <c r="K278" s="142"/>
      <c r="L278" s="142"/>
      <c r="M278" s="142"/>
      <c r="O278" s="142"/>
    </row>
    <row r="279" spans="1:15" ht="13.8">
      <c r="A279" s="142"/>
      <c r="B279" s="142"/>
      <c r="C279" s="142"/>
      <c r="D279" s="142"/>
      <c r="E279" s="142"/>
      <c r="F279" s="142"/>
      <c r="G279" s="142"/>
      <c r="H279" s="142"/>
      <c r="I279" s="142"/>
      <c r="J279" s="142"/>
      <c r="K279" s="142"/>
      <c r="L279" s="142"/>
      <c r="M279" s="142"/>
      <c r="O279" s="142"/>
    </row>
    <row r="280" spans="1:15" ht="13.8">
      <c r="A280" s="142"/>
      <c r="B280" s="142"/>
      <c r="C280" s="142"/>
      <c r="D280" s="142"/>
      <c r="E280" s="142"/>
      <c r="F280" s="142"/>
      <c r="G280" s="142"/>
      <c r="H280" s="142"/>
      <c r="I280" s="142"/>
      <c r="J280" s="142"/>
      <c r="K280" s="142"/>
      <c r="L280" s="142"/>
      <c r="M280" s="142"/>
      <c r="O280" s="142"/>
    </row>
    <row r="281" spans="1:15" ht="13.8">
      <c r="A281" s="142"/>
      <c r="B281" s="142"/>
      <c r="C281" s="142"/>
      <c r="D281" s="142"/>
      <c r="E281" s="142"/>
      <c r="F281" s="142"/>
      <c r="G281" s="142"/>
      <c r="H281" s="142"/>
      <c r="I281" s="142"/>
      <c r="J281" s="142"/>
      <c r="K281" s="142"/>
      <c r="L281" s="142"/>
      <c r="M281" s="142"/>
      <c r="O281" s="142"/>
    </row>
    <row r="282" spans="1:15" ht="13.8">
      <c r="A282" s="142"/>
      <c r="B282" s="142"/>
      <c r="C282" s="142"/>
      <c r="D282" s="142"/>
      <c r="E282" s="142"/>
      <c r="F282" s="142"/>
      <c r="G282" s="142"/>
      <c r="H282" s="142"/>
      <c r="I282" s="142"/>
      <c r="J282" s="142"/>
      <c r="K282" s="142"/>
      <c r="L282" s="142"/>
      <c r="M282" s="142"/>
      <c r="O282" s="142"/>
    </row>
    <row r="283" spans="1:15" ht="13.8">
      <c r="A283" s="142"/>
      <c r="B283" s="142"/>
      <c r="C283" s="142"/>
      <c r="D283" s="142"/>
      <c r="E283" s="142"/>
      <c r="F283" s="142"/>
      <c r="G283" s="142"/>
      <c r="H283" s="142"/>
      <c r="I283" s="142"/>
      <c r="J283" s="142"/>
      <c r="K283" s="142"/>
      <c r="L283" s="142"/>
      <c r="M283" s="142"/>
      <c r="O283" s="142"/>
    </row>
    <row r="284" spans="1:15" ht="13.8">
      <c r="A284" s="142"/>
      <c r="B284" s="142"/>
      <c r="C284" s="142"/>
      <c r="D284" s="142"/>
      <c r="E284" s="142"/>
      <c r="F284" s="142"/>
      <c r="G284" s="142"/>
      <c r="H284" s="142"/>
      <c r="I284" s="142"/>
      <c r="J284" s="142"/>
      <c r="K284" s="142"/>
      <c r="L284" s="142"/>
      <c r="M284" s="142"/>
      <c r="O284" s="142"/>
    </row>
    <row r="285" spans="1:15" ht="13.8">
      <c r="A285" s="142"/>
      <c r="B285" s="142"/>
      <c r="C285" s="142"/>
      <c r="D285" s="142"/>
      <c r="E285" s="142"/>
      <c r="F285" s="142"/>
      <c r="G285" s="142"/>
      <c r="H285" s="142"/>
      <c r="I285" s="142"/>
      <c r="J285" s="142"/>
      <c r="K285" s="142"/>
      <c r="L285" s="142"/>
      <c r="M285" s="142"/>
      <c r="O285" s="142"/>
    </row>
    <row r="286" spans="1:15" ht="13.8">
      <c r="A286" s="142"/>
      <c r="B286" s="142"/>
      <c r="C286" s="142"/>
      <c r="D286" s="142"/>
      <c r="E286" s="142"/>
      <c r="F286" s="142"/>
      <c r="G286" s="142"/>
      <c r="H286" s="142"/>
      <c r="I286" s="142"/>
      <c r="J286" s="142"/>
      <c r="K286" s="142"/>
      <c r="L286" s="142"/>
      <c r="M286" s="142"/>
      <c r="O286" s="142"/>
    </row>
    <row r="287" spans="1:15" ht="13.8">
      <c r="A287" s="142"/>
      <c r="B287" s="142"/>
      <c r="C287" s="142"/>
      <c r="D287" s="142"/>
      <c r="E287" s="142"/>
      <c r="F287" s="142"/>
      <c r="G287" s="142"/>
      <c r="H287" s="142"/>
      <c r="I287" s="142"/>
      <c r="J287" s="142"/>
      <c r="K287" s="142"/>
      <c r="L287" s="142"/>
      <c r="M287" s="142"/>
      <c r="O287" s="142"/>
    </row>
    <row r="288" spans="1:15" ht="13.8">
      <c r="A288" s="142"/>
      <c r="B288" s="142"/>
      <c r="C288" s="142"/>
      <c r="D288" s="142"/>
      <c r="E288" s="142"/>
      <c r="F288" s="142"/>
      <c r="G288" s="142"/>
      <c r="H288" s="142"/>
      <c r="I288" s="142"/>
      <c r="J288" s="142"/>
      <c r="K288" s="142"/>
      <c r="L288" s="142"/>
      <c r="M288" s="142"/>
      <c r="O288" s="142"/>
    </row>
    <row r="289" spans="1:15" ht="13.8">
      <c r="A289" s="142"/>
      <c r="B289" s="142"/>
      <c r="C289" s="142"/>
      <c r="D289" s="142"/>
      <c r="E289" s="142"/>
      <c r="F289" s="142"/>
      <c r="G289" s="142"/>
      <c r="H289" s="142"/>
      <c r="I289" s="142"/>
      <c r="J289" s="142"/>
      <c r="K289" s="142"/>
      <c r="L289" s="142"/>
      <c r="M289" s="142"/>
      <c r="O289" s="142"/>
    </row>
    <row r="290" spans="1:15" ht="13.8">
      <c r="A290" s="142"/>
      <c r="B290" s="142"/>
      <c r="C290" s="142"/>
      <c r="D290" s="142"/>
      <c r="E290" s="142"/>
      <c r="F290" s="142"/>
      <c r="G290" s="142"/>
      <c r="H290" s="142"/>
      <c r="I290" s="142"/>
      <c r="J290" s="142"/>
      <c r="K290" s="142"/>
      <c r="L290" s="142"/>
      <c r="M290" s="142"/>
      <c r="O290" s="142"/>
    </row>
    <row r="291" spans="1:15" ht="13.8">
      <c r="A291" s="142"/>
      <c r="B291" s="142"/>
      <c r="C291" s="142"/>
      <c r="D291" s="142"/>
      <c r="E291" s="142"/>
      <c r="F291" s="142"/>
      <c r="G291" s="142"/>
      <c r="H291" s="142"/>
      <c r="I291" s="142"/>
      <c r="J291" s="142"/>
      <c r="K291" s="142"/>
      <c r="L291" s="142"/>
      <c r="M291" s="142"/>
      <c r="O291" s="142"/>
    </row>
    <row r="292" spans="1:15" ht="13.8">
      <c r="A292" s="142"/>
      <c r="B292" s="142"/>
      <c r="C292" s="142"/>
      <c r="D292" s="142"/>
      <c r="E292" s="142"/>
      <c r="F292" s="142"/>
      <c r="G292" s="142"/>
      <c r="H292" s="142"/>
      <c r="I292" s="142"/>
      <c r="J292" s="142"/>
      <c r="K292" s="142"/>
      <c r="L292" s="142"/>
      <c r="M292" s="142"/>
      <c r="O292" s="142"/>
    </row>
    <row r="293" spans="1:15" ht="13.8">
      <c r="A293" s="142"/>
      <c r="B293" s="142"/>
      <c r="C293" s="142"/>
      <c r="D293" s="142"/>
      <c r="E293" s="142"/>
      <c r="F293" s="142"/>
      <c r="G293" s="142"/>
      <c r="H293" s="142"/>
      <c r="I293" s="142"/>
      <c r="J293" s="142"/>
      <c r="K293" s="142"/>
      <c r="L293" s="142"/>
      <c r="M293" s="142"/>
      <c r="O293" s="142"/>
    </row>
    <row r="294" spans="1:15" ht="13.8">
      <c r="A294" s="142"/>
      <c r="B294" s="142"/>
      <c r="C294" s="142"/>
      <c r="D294" s="142"/>
      <c r="E294" s="142"/>
      <c r="F294" s="142"/>
      <c r="G294" s="142"/>
      <c r="H294" s="142"/>
      <c r="I294" s="142"/>
      <c r="J294" s="142"/>
      <c r="K294" s="142"/>
      <c r="L294" s="142"/>
      <c r="M294" s="142"/>
      <c r="O294" s="142"/>
    </row>
    <row r="295" spans="1:15" ht="13.8">
      <c r="A295" s="142"/>
      <c r="B295" s="142"/>
      <c r="C295" s="142"/>
      <c r="D295" s="142"/>
      <c r="E295" s="142"/>
      <c r="F295" s="142"/>
      <c r="G295" s="142"/>
      <c r="H295" s="142"/>
      <c r="I295" s="142"/>
      <c r="J295" s="142"/>
      <c r="K295" s="142"/>
      <c r="L295" s="142"/>
      <c r="M295" s="142"/>
      <c r="O295" s="142"/>
    </row>
    <row r="296" spans="1:15" ht="13.8">
      <c r="A296" s="142"/>
      <c r="B296" s="142"/>
      <c r="C296" s="142"/>
      <c r="D296" s="142"/>
      <c r="E296" s="142"/>
      <c r="F296" s="142"/>
      <c r="G296" s="142"/>
      <c r="H296" s="142"/>
      <c r="I296" s="142"/>
      <c r="J296" s="142"/>
      <c r="K296" s="142"/>
      <c r="L296" s="142"/>
      <c r="M296" s="142"/>
      <c r="O296" s="142"/>
    </row>
    <row r="297" spans="1:15" ht="13.8">
      <c r="A297" s="142"/>
      <c r="B297" s="142"/>
      <c r="C297" s="142"/>
      <c r="D297" s="142"/>
      <c r="E297" s="142"/>
      <c r="F297" s="142"/>
      <c r="G297" s="142"/>
      <c r="H297" s="142"/>
      <c r="I297" s="142"/>
      <c r="J297" s="142"/>
      <c r="K297" s="142"/>
      <c r="L297" s="142"/>
      <c r="M297" s="142"/>
      <c r="O297" s="142"/>
    </row>
    <row r="298" spans="1:15" ht="13.8">
      <c r="A298" s="142"/>
      <c r="B298" s="142"/>
      <c r="C298" s="142"/>
      <c r="D298" s="142"/>
      <c r="E298" s="142"/>
      <c r="F298" s="142"/>
      <c r="G298" s="142"/>
      <c r="H298" s="142"/>
      <c r="I298" s="142"/>
      <c r="J298" s="142"/>
      <c r="K298" s="142"/>
      <c r="L298" s="142"/>
      <c r="M298" s="142"/>
      <c r="O298" s="142"/>
    </row>
    <row r="299" spans="1:15" ht="13.8">
      <c r="A299" s="142"/>
      <c r="B299" s="142"/>
      <c r="C299" s="142"/>
      <c r="D299" s="142"/>
      <c r="E299" s="142"/>
      <c r="F299" s="142"/>
      <c r="G299" s="142"/>
      <c r="H299" s="142"/>
      <c r="I299" s="142"/>
      <c r="J299" s="142"/>
      <c r="K299" s="142"/>
      <c r="L299" s="142"/>
      <c r="M299" s="142"/>
      <c r="O299" s="142"/>
    </row>
    <row r="300" spans="1:15" ht="13.8">
      <c r="A300" s="142"/>
      <c r="B300" s="142"/>
      <c r="C300" s="142"/>
      <c r="D300" s="142"/>
      <c r="E300" s="142"/>
      <c r="F300" s="142"/>
      <c r="G300" s="142"/>
      <c r="H300" s="142"/>
      <c r="I300" s="142"/>
      <c r="J300" s="142"/>
      <c r="K300" s="142"/>
      <c r="L300" s="142"/>
      <c r="M300" s="142"/>
      <c r="O300" s="142"/>
    </row>
    <row r="301" spans="1:15" ht="13.8">
      <c r="A301" s="142"/>
      <c r="B301" s="142"/>
      <c r="C301" s="142"/>
      <c r="D301" s="142"/>
      <c r="E301" s="142"/>
      <c r="F301" s="142"/>
      <c r="G301" s="142"/>
      <c r="H301" s="142"/>
      <c r="I301" s="142"/>
      <c r="J301" s="142"/>
      <c r="K301" s="142"/>
      <c r="L301" s="142"/>
      <c r="M301" s="142"/>
      <c r="O301" s="142"/>
    </row>
    <row r="302" spans="1:15" ht="13.8">
      <c r="A302" s="142"/>
      <c r="B302" s="142"/>
      <c r="C302" s="142"/>
      <c r="D302" s="142"/>
      <c r="E302" s="142"/>
      <c r="F302" s="142"/>
      <c r="G302" s="142"/>
      <c r="H302" s="142"/>
      <c r="I302" s="142"/>
      <c r="J302" s="142"/>
      <c r="K302" s="142"/>
      <c r="L302" s="142"/>
      <c r="M302" s="142"/>
      <c r="O302" s="142"/>
    </row>
    <row r="303" spans="1:15" ht="13.8">
      <c r="A303" s="142"/>
      <c r="B303" s="142"/>
      <c r="C303" s="142"/>
      <c r="D303" s="142"/>
      <c r="E303" s="142"/>
      <c r="F303" s="142"/>
      <c r="G303" s="142"/>
      <c r="H303" s="142"/>
      <c r="I303" s="142"/>
      <c r="J303" s="142"/>
      <c r="K303" s="142"/>
      <c r="L303" s="142"/>
      <c r="M303" s="142"/>
      <c r="O303" s="142"/>
    </row>
    <row r="304" spans="1:15" ht="13.8">
      <c r="A304" s="142"/>
      <c r="B304" s="142"/>
      <c r="C304" s="142"/>
      <c r="D304" s="142"/>
      <c r="E304" s="142"/>
      <c r="F304" s="142"/>
      <c r="G304" s="142"/>
      <c r="H304" s="142"/>
      <c r="I304" s="142"/>
      <c r="J304" s="142"/>
      <c r="K304" s="142"/>
      <c r="L304" s="142"/>
      <c r="M304" s="142"/>
      <c r="O304" s="142"/>
    </row>
    <row r="305" spans="1:15" ht="13.8">
      <c r="A305" s="142"/>
      <c r="B305" s="142"/>
      <c r="C305" s="142"/>
      <c r="D305" s="142"/>
      <c r="E305" s="142"/>
      <c r="F305" s="142"/>
      <c r="G305" s="142"/>
      <c r="H305" s="142"/>
      <c r="I305" s="142"/>
      <c r="J305" s="142"/>
      <c r="K305" s="142"/>
      <c r="L305" s="142"/>
      <c r="M305" s="142"/>
      <c r="O305" s="142"/>
    </row>
    <row r="306" spans="1:15" ht="13.8">
      <c r="A306" s="142"/>
      <c r="B306" s="142"/>
      <c r="C306" s="142"/>
      <c r="D306" s="142"/>
      <c r="E306" s="142"/>
      <c r="F306" s="142"/>
      <c r="G306" s="142"/>
      <c r="H306" s="142"/>
      <c r="I306" s="142"/>
      <c r="J306" s="142"/>
      <c r="K306" s="142"/>
      <c r="L306" s="142"/>
      <c r="M306" s="142"/>
      <c r="O306" s="142"/>
    </row>
    <row r="307" spans="1:15" ht="13.8">
      <c r="A307" s="142"/>
      <c r="B307" s="142"/>
      <c r="C307" s="142"/>
      <c r="D307" s="142"/>
      <c r="E307" s="142"/>
      <c r="F307" s="142"/>
      <c r="G307" s="142"/>
      <c r="H307" s="142"/>
      <c r="I307" s="142"/>
      <c r="J307" s="142"/>
      <c r="K307" s="142"/>
      <c r="L307" s="142"/>
      <c r="M307" s="142"/>
      <c r="O307" s="142"/>
    </row>
    <row r="308" spans="1:15" ht="13.8">
      <c r="A308" s="142"/>
      <c r="B308" s="142"/>
      <c r="C308" s="142"/>
      <c r="D308" s="142"/>
      <c r="E308" s="142"/>
      <c r="F308" s="142"/>
      <c r="G308" s="142"/>
      <c r="H308" s="142"/>
      <c r="I308" s="142"/>
      <c r="J308" s="142"/>
      <c r="K308" s="142"/>
      <c r="L308" s="142"/>
      <c r="M308" s="142"/>
      <c r="O308" s="142"/>
    </row>
    <row r="309" spans="1:15" ht="13.8">
      <c r="A309" s="142"/>
      <c r="B309" s="142"/>
      <c r="C309" s="142"/>
      <c r="D309" s="142"/>
      <c r="E309" s="142"/>
      <c r="F309" s="142"/>
      <c r="G309" s="142"/>
      <c r="H309" s="142"/>
      <c r="I309" s="142"/>
      <c r="J309" s="142"/>
      <c r="K309" s="142"/>
      <c r="L309" s="142"/>
      <c r="M309" s="142"/>
      <c r="O309" s="142"/>
    </row>
    <row r="310" spans="1:15" ht="13.8">
      <c r="A310" s="142"/>
      <c r="B310" s="142"/>
      <c r="C310" s="142"/>
      <c r="D310" s="142"/>
      <c r="E310" s="142"/>
      <c r="F310" s="142"/>
      <c r="G310" s="142"/>
      <c r="H310" s="142"/>
      <c r="I310" s="142"/>
      <c r="J310" s="142"/>
      <c r="K310" s="142"/>
      <c r="L310" s="142"/>
      <c r="M310" s="142"/>
      <c r="O310" s="142"/>
    </row>
    <row r="311" spans="1:15" ht="13.8">
      <c r="A311" s="142"/>
      <c r="B311" s="142"/>
      <c r="C311" s="142"/>
      <c r="D311" s="142"/>
      <c r="E311" s="142"/>
      <c r="F311" s="142"/>
      <c r="G311" s="142"/>
      <c r="H311" s="142"/>
      <c r="I311" s="142"/>
      <c r="J311" s="142"/>
      <c r="K311" s="142"/>
      <c r="L311" s="142"/>
      <c r="M311" s="142"/>
      <c r="O311" s="142"/>
    </row>
    <row r="312" spans="1:15" ht="13.8">
      <c r="A312" s="142"/>
      <c r="B312" s="142"/>
      <c r="C312" s="142"/>
      <c r="D312" s="142"/>
      <c r="E312" s="142"/>
      <c r="F312" s="142"/>
      <c r="G312" s="142"/>
      <c r="H312" s="142"/>
      <c r="I312" s="142"/>
      <c r="J312" s="142"/>
      <c r="K312" s="142"/>
      <c r="L312" s="142"/>
      <c r="M312" s="142"/>
      <c r="O312" s="142"/>
    </row>
    <row r="313" spans="1:15" ht="13.8">
      <c r="A313" s="142"/>
      <c r="B313" s="142"/>
      <c r="C313" s="142"/>
      <c r="D313" s="142"/>
      <c r="E313" s="142"/>
      <c r="F313" s="142"/>
      <c r="G313" s="142"/>
      <c r="H313" s="142"/>
      <c r="I313" s="142"/>
      <c r="J313" s="142"/>
      <c r="K313" s="142"/>
      <c r="L313" s="142"/>
      <c r="M313" s="142"/>
      <c r="O313" s="142"/>
    </row>
    <row r="314" spans="1:15" ht="13.8">
      <c r="A314" s="142"/>
      <c r="B314" s="142"/>
      <c r="C314" s="142"/>
      <c r="D314" s="142"/>
      <c r="E314" s="142"/>
      <c r="F314" s="142"/>
      <c r="G314" s="142"/>
      <c r="H314" s="142"/>
      <c r="I314" s="142"/>
      <c r="J314" s="142"/>
      <c r="K314" s="142"/>
      <c r="L314" s="142"/>
      <c r="M314" s="142"/>
      <c r="O314" s="142"/>
    </row>
    <row r="315" spans="1:15" ht="13.8">
      <c r="A315" s="142"/>
      <c r="B315" s="142"/>
      <c r="C315" s="142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O315" s="142"/>
    </row>
    <row r="316" spans="1:15" ht="13.8">
      <c r="A316" s="142"/>
      <c r="B316" s="142"/>
      <c r="C316" s="142"/>
      <c r="D316" s="142"/>
      <c r="E316" s="142"/>
      <c r="F316" s="142"/>
      <c r="G316" s="142"/>
      <c r="H316" s="142"/>
      <c r="I316" s="142"/>
      <c r="J316" s="142"/>
      <c r="K316" s="142"/>
      <c r="L316" s="142"/>
      <c r="M316" s="142"/>
      <c r="O316" s="142"/>
    </row>
    <row r="317" spans="1:15" ht="13.8">
      <c r="A317" s="142"/>
      <c r="B317" s="142"/>
      <c r="C317" s="142"/>
      <c r="D317" s="142"/>
      <c r="E317" s="142"/>
      <c r="F317" s="142"/>
      <c r="G317" s="142"/>
      <c r="H317" s="142"/>
      <c r="I317" s="142"/>
      <c r="J317" s="142"/>
      <c r="K317" s="142"/>
      <c r="L317" s="142"/>
      <c r="M317" s="142"/>
      <c r="O317" s="142"/>
    </row>
    <row r="318" spans="1:15" ht="13.8">
      <c r="A318" s="142"/>
      <c r="B318" s="142"/>
      <c r="C318" s="142"/>
      <c r="D318" s="142"/>
      <c r="E318" s="142"/>
      <c r="F318" s="142"/>
      <c r="G318" s="142"/>
      <c r="H318" s="142"/>
      <c r="I318" s="142"/>
      <c r="J318" s="142"/>
      <c r="K318" s="142"/>
      <c r="L318" s="142"/>
      <c r="M318" s="142"/>
      <c r="O318" s="142"/>
    </row>
    <row r="319" spans="1:15" ht="13.8">
      <c r="A319" s="142"/>
      <c r="B319" s="142"/>
      <c r="C319" s="142"/>
      <c r="D319" s="142"/>
      <c r="E319" s="142"/>
      <c r="F319" s="142"/>
      <c r="G319" s="142"/>
      <c r="H319" s="142"/>
      <c r="I319" s="142"/>
      <c r="J319" s="142"/>
      <c r="K319" s="142"/>
      <c r="L319" s="142"/>
      <c r="M319" s="142"/>
      <c r="O319" s="142"/>
    </row>
    <row r="320" spans="1:15" ht="13.8">
      <c r="A320" s="142"/>
      <c r="B320" s="142"/>
      <c r="C320" s="142"/>
      <c r="D320" s="142"/>
      <c r="E320" s="142"/>
      <c r="F320" s="142"/>
      <c r="G320" s="142"/>
      <c r="H320" s="142"/>
      <c r="I320" s="142"/>
      <c r="J320" s="142"/>
      <c r="K320" s="142"/>
      <c r="L320" s="142"/>
      <c r="M320" s="142"/>
      <c r="O320" s="142"/>
    </row>
    <row r="321" spans="1:15" ht="13.8">
      <c r="A321" s="142"/>
      <c r="B321" s="142"/>
      <c r="C321" s="142"/>
      <c r="D321" s="142"/>
      <c r="E321" s="142"/>
      <c r="F321" s="142"/>
      <c r="G321" s="142"/>
      <c r="H321" s="142"/>
      <c r="I321" s="142"/>
      <c r="J321" s="142"/>
      <c r="K321" s="142"/>
      <c r="L321" s="142"/>
      <c r="M321" s="142"/>
      <c r="O321" s="142"/>
    </row>
    <row r="322" spans="1:15" ht="13.8">
      <c r="A322" s="142"/>
      <c r="B322" s="142"/>
      <c r="C322" s="142"/>
      <c r="D322" s="142"/>
      <c r="E322" s="142"/>
      <c r="F322" s="142"/>
      <c r="G322" s="142"/>
      <c r="H322" s="142"/>
      <c r="I322" s="142"/>
      <c r="J322" s="142"/>
      <c r="K322" s="142"/>
      <c r="L322" s="142"/>
      <c r="M322" s="142"/>
      <c r="O322" s="142"/>
    </row>
    <row r="323" spans="1:15" ht="13.8">
      <c r="A323" s="142"/>
      <c r="B323" s="142"/>
      <c r="C323" s="142"/>
      <c r="D323" s="142"/>
      <c r="E323" s="142"/>
      <c r="F323" s="142"/>
      <c r="G323" s="142"/>
      <c r="H323" s="142"/>
      <c r="I323" s="142"/>
      <c r="J323" s="142"/>
      <c r="K323" s="142"/>
      <c r="L323" s="142"/>
      <c r="M323" s="142"/>
      <c r="O323" s="142"/>
    </row>
    <row r="324" spans="1:15" ht="13.8">
      <c r="A324" s="142"/>
      <c r="B324" s="142"/>
      <c r="C324" s="142"/>
      <c r="D324" s="142"/>
      <c r="E324" s="142"/>
      <c r="F324" s="142"/>
      <c r="G324" s="142"/>
      <c r="H324" s="142"/>
      <c r="I324" s="142"/>
      <c r="J324" s="142"/>
      <c r="K324" s="142"/>
      <c r="L324" s="142"/>
      <c r="M324" s="142"/>
      <c r="O324" s="142"/>
    </row>
    <row r="325" spans="1:15" ht="13.8">
      <c r="A325" s="142"/>
      <c r="B325" s="142"/>
      <c r="C325" s="142"/>
      <c r="D325" s="142"/>
      <c r="E325" s="142"/>
      <c r="F325" s="142"/>
      <c r="G325" s="142"/>
      <c r="H325" s="142"/>
      <c r="I325" s="142"/>
      <c r="J325" s="142"/>
      <c r="K325" s="142"/>
      <c r="L325" s="142"/>
      <c r="M325" s="142"/>
      <c r="O325" s="142"/>
    </row>
    <row r="326" spans="1:15" ht="13.8">
      <c r="A326" s="142"/>
      <c r="B326" s="142"/>
      <c r="C326" s="142"/>
      <c r="D326" s="142"/>
      <c r="E326" s="142"/>
      <c r="F326" s="142"/>
      <c r="G326" s="142"/>
      <c r="H326" s="142"/>
      <c r="I326" s="142"/>
      <c r="J326" s="142"/>
      <c r="K326" s="142"/>
      <c r="L326" s="142"/>
      <c r="M326" s="142"/>
      <c r="O326" s="142"/>
    </row>
    <row r="327" spans="1:15" ht="13.8">
      <c r="A327" s="142"/>
      <c r="B327" s="142"/>
      <c r="C327" s="142"/>
      <c r="D327" s="142"/>
      <c r="E327" s="142"/>
      <c r="F327" s="142"/>
      <c r="G327" s="142"/>
      <c r="H327" s="142"/>
      <c r="I327" s="142"/>
      <c r="J327" s="142"/>
      <c r="K327" s="142"/>
      <c r="L327" s="142"/>
      <c r="M327" s="142"/>
      <c r="O327" s="142"/>
    </row>
    <row r="328" spans="1:15" ht="13.8">
      <c r="A328" s="142"/>
      <c r="B328" s="142"/>
      <c r="C328" s="142"/>
      <c r="D328" s="142"/>
      <c r="E328" s="142"/>
      <c r="F328" s="142"/>
      <c r="G328" s="142"/>
      <c r="H328" s="142"/>
      <c r="I328" s="142"/>
      <c r="J328" s="142"/>
      <c r="K328" s="142"/>
      <c r="L328" s="142"/>
      <c r="M328" s="142"/>
      <c r="O328" s="142"/>
    </row>
    <row r="329" spans="1:15" ht="13.8">
      <c r="A329" s="142"/>
      <c r="B329" s="142"/>
      <c r="C329" s="142"/>
      <c r="D329" s="142"/>
      <c r="E329" s="142"/>
      <c r="F329" s="142"/>
      <c r="G329" s="142"/>
      <c r="H329" s="142"/>
      <c r="I329" s="142"/>
      <c r="J329" s="142"/>
      <c r="K329" s="142"/>
      <c r="L329" s="142"/>
      <c r="M329" s="142"/>
      <c r="O329" s="142"/>
    </row>
    <row r="330" spans="1:15" ht="13.8">
      <c r="A330" s="142"/>
      <c r="B330" s="142"/>
      <c r="C330" s="142"/>
      <c r="D330" s="142"/>
      <c r="E330" s="142"/>
      <c r="F330" s="142"/>
      <c r="G330" s="142"/>
      <c r="H330" s="142"/>
      <c r="I330" s="142"/>
      <c r="J330" s="142"/>
      <c r="K330" s="142"/>
      <c r="L330" s="142"/>
      <c r="M330" s="142"/>
      <c r="O330" s="142"/>
    </row>
    <row r="331" spans="1:15" ht="13.8">
      <c r="A331" s="142"/>
      <c r="B331" s="142"/>
      <c r="C331" s="142"/>
      <c r="D331" s="142"/>
      <c r="E331" s="142"/>
      <c r="F331" s="142"/>
      <c r="G331" s="142"/>
      <c r="H331" s="142"/>
      <c r="I331" s="142"/>
      <c r="J331" s="142"/>
      <c r="K331" s="142"/>
      <c r="L331" s="142"/>
      <c r="M331" s="142"/>
      <c r="O331" s="142"/>
    </row>
    <row r="332" spans="1:15" ht="13.8">
      <c r="A332" s="142"/>
      <c r="B332" s="142"/>
      <c r="C332" s="142"/>
      <c r="D332" s="142"/>
      <c r="E332" s="142"/>
      <c r="F332" s="142"/>
      <c r="G332" s="142"/>
      <c r="H332" s="142"/>
      <c r="I332" s="142"/>
      <c r="J332" s="142"/>
      <c r="K332" s="142"/>
      <c r="L332" s="142"/>
      <c r="M332" s="142"/>
      <c r="O332" s="142"/>
    </row>
    <row r="333" spans="1:15" ht="13.8">
      <c r="A333" s="142"/>
      <c r="B333" s="142"/>
      <c r="C333" s="142"/>
      <c r="D333" s="142"/>
      <c r="E333" s="142"/>
      <c r="F333" s="142"/>
      <c r="G333" s="142"/>
      <c r="H333" s="142"/>
      <c r="I333" s="142"/>
      <c r="J333" s="142"/>
      <c r="K333" s="142"/>
      <c r="L333" s="142"/>
      <c r="M333" s="142"/>
      <c r="O333" s="142"/>
    </row>
    <row r="334" spans="1:15" ht="13.8">
      <c r="A334" s="142"/>
      <c r="B334" s="142"/>
      <c r="C334" s="142"/>
      <c r="D334" s="142"/>
      <c r="E334" s="142"/>
      <c r="F334" s="142"/>
      <c r="G334" s="142"/>
      <c r="H334" s="142"/>
      <c r="I334" s="142"/>
      <c r="J334" s="142"/>
      <c r="K334" s="142"/>
      <c r="L334" s="142"/>
      <c r="M334" s="142"/>
      <c r="O334" s="142"/>
    </row>
    <row r="335" spans="1:15" ht="13.8">
      <c r="A335" s="142"/>
      <c r="B335" s="142"/>
      <c r="C335" s="142"/>
      <c r="D335" s="142"/>
      <c r="E335" s="142"/>
      <c r="F335" s="142"/>
      <c r="G335" s="142"/>
      <c r="H335" s="142"/>
      <c r="I335" s="142"/>
      <c r="J335" s="142"/>
      <c r="K335" s="142"/>
      <c r="L335" s="142"/>
      <c r="M335" s="142"/>
      <c r="O335" s="142"/>
    </row>
    <row r="336" spans="1:15" ht="13.8">
      <c r="A336" s="142"/>
      <c r="B336" s="142"/>
      <c r="C336" s="142"/>
      <c r="D336" s="142"/>
      <c r="E336" s="142"/>
      <c r="F336" s="142"/>
      <c r="G336" s="142"/>
      <c r="H336" s="142"/>
      <c r="I336" s="142"/>
      <c r="J336" s="142"/>
      <c r="K336" s="142"/>
      <c r="L336" s="142"/>
      <c r="M336" s="142"/>
      <c r="O336" s="142"/>
    </row>
    <row r="337" spans="1:15" ht="13.8">
      <c r="A337" s="142"/>
      <c r="B337" s="142"/>
      <c r="C337" s="142"/>
      <c r="D337" s="142"/>
      <c r="E337" s="142"/>
      <c r="F337" s="142"/>
      <c r="G337" s="142"/>
      <c r="H337" s="142"/>
      <c r="I337" s="142"/>
      <c r="J337" s="142"/>
      <c r="K337" s="142"/>
      <c r="L337" s="142"/>
      <c r="M337" s="142"/>
      <c r="O337" s="142"/>
    </row>
    <row r="338" spans="1:15" ht="13.8">
      <c r="A338" s="142"/>
      <c r="B338" s="142"/>
      <c r="C338" s="142"/>
      <c r="D338" s="142"/>
      <c r="E338" s="142"/>
      <c r="F338" s="142"/>
      <c r="G338" s="142"/>
      <c r="H338" s="142"/>
      <c r="I338" s="142"/>
      <c r="J338" s="142"/>
      <c r="K338" s="142"/>
      <c r="L338" s="142"/>
      <c r="M338" s="142"/>
      <c r="O338" s="142"/>
    </row>
    <row r="339" spans="1:15" ht="13.8">
      <c r="A339" s="142"/>
      <c r="B339" s="142"/>
      <c r="C339" s="142"/>
      <c r="D339" s="142"/>
      <c r="E339" s="142"/>
      <c r="F339" s="142"/>
      <c r="G339" s="142"/>
      <c r="H339" s="142"/>
      <c r="I339" s="142"/>
      <c r="J339" s="142"/>
      <c r="K339" s="142"/>
      <c r="L339" s="142"/>
      <c r="M339" s="142"/>
      <c r="O339" s="142"/>
    </row>
    <row r="340" spans="1:15" ht="13.8">
      <c r="A340" s="142"/>
      <c r="B340" s="142"/>
      <c r="C340" s="142"/>
      <c r="D340" s="142"/>
      <c r="E340" s="142"/>
      <c r="F340" s="142"/>
      <c r="G340" s="142"/>
      <c r="H340" s="142"/>
      <c r="I340" s="142"/>
      <c r="J340" s="142"/>
      <c r="K340" s="142"/>
      <c r="L340" s="142"/>
      <c r="M340" s="142"/>
      <c r="O340" s="142"/>
    </row>
    <row r="341" spans="1:15" ht="13.8">
      <c r="A341" s="142"/>
      <c r="B341" s="142"/>
      <c r="C341" s="142"/>
      <c r="D341" s="142"/>
      <c r="E341" s="142"/>
      <c r="F341" s="142"/>
      <c r="G341" s="142"/>
      <c r="H341" s="142"/>
      <c r="I341" s="142"/>
      <c r="J341" s="142"/>
      <c r="K341" s="142"/>
      <c r="L341" s="142"/>
      <c r="M341" s="142"/>
      <c r="O341" s="142"/>
    </row>
    <row r="342" spans="1:15" ht="13.8">
      <c r="A342" s="142"/>
      <c r="B342" s="142"/>
      <c r="C342" s="142"/>
      <c r="D342" s="142"/>
      <c r="E342" s="142"/>
      <c r="F342" s="142"/>
      <c r="G342" s="142"/>
      <c r="H342" s="142"/>
      <c r="I342" s="142"/>
      <c r="J342" s="142"/>
      <c r="K342" s="142"/>
      <c r="L342" s="142"/>
      <c r="M342" s="142"/>
      <c r="O342" s="142"/>
    </row>
    <row r="343" spans="1:15" ht="13.8">
      <c r="A343" s="142"/>
      <c r="B343" s="142"/>
      <c r="C343" s="142"/>
      <c r="D343" s="142"/>
      <c r="E343" s="142"/>
      <c r="F343" s="142"/>
      <c r="G343" s="142"/>
      <c r="H343" s="142"/>
      <c r="I343" s="142"/>
      <c r="J343" s="142"/>
      <c r="K343" s="142"/>
      <c r="L343" s="142"/>
      <c r="M343" s="142"/>
      <c r="O343" s="142"/>
    </row>
  </sheetData>
  <mergeCells count="5">
    <mergeCell ref="A171:C171"/>
    <mergeCell ref="A209:C209"/>
    <mergeCell ref="A2:C2"/>
    <mergeCell ref="A28:C28"/>
    <mergeCell ref="A106:C106"/>
  </mergeCells>
  <phoneticPr fontId="56" type="noConversion"/>
  <conditionalFormatting sqref="N48:N51 N74:N75 D51:G51 D75:G75 D101:G101 I101:L101 I75:L75 I51:L51">
    <cfRule type="expression" dxfId="22" priority="26" stopIfTrue="1">
      <formula>$C$48&gt;=VALUE(RIGHT(D$31,4))</formula>
    </cfRule>
  </conditionalFormatting>
  <conditionalFormatting sqref="D101:G101 I101:L101">
    <cfRule type="expression" dxfId="21" priority="24" stopIfTrue="1">
      <formula>$C101&gt;=VALUE(RIGHT(D$31,4))</formula>
    </cfRule>
  </conditionalFormatting>
  <conditionalFormatting sqref="D40:G50 I40:L50">
    <cfRule type="expression" dxfId="20" priority="22">
      <formula>$C40&lt;=VALUE(RIGHT(D$30,4))</formula>
    </cfRule>
  </conditionalFormatting>
  <conditionalFormatting sqref="D41:G41 I41:L41">
    <cfRule type="expression" dxfId="19" priority="13">
      <formula>$C41&gt;=VALUE(RIGHT(#REF!,4))</formula>
    </cfRule>
  </conditionalFormatting>
  <conditionalFormatting sqref="H51 H75 H101">
    <cfRule type="expression" dxfId="18" priority="12" stopIfTrue="1">
      <formula>$C$48&gt;=VALUE(RIGHT(H$31,4))</formula>
    </cfRule>
  </conditionalFormatting>
  <conditionalFormatting sqref="H101">
    <cfRule type="expression" dxfId="17" priority="11" stopIfTrue="1">
      <formula>$C101&gt;=VALUE(RIGHT(H$31,4))</formula>
    </cfRule>
  </conditionalFormatting>
  <conditionalFormatting sqref="H40:H50">
    <cfRule type="expression" dxfId="16" priority="10">
      <formula>$C40&lt;=VALUE(RIGHT(H$30,4))</formula>
    </cfRule>
  </conditionalFormatting>
  <conditionalFormatting sqref="H41">
    <cfRule type="expression" dxfId="15" priority="9">
      <formula>$C41&gt;=VALUE(RIGHT(#REF!,4))</formula>
    </cfRule>
  </conditionalFormatting>
  <conditionalFormatting sqref="O41">
    <cfRule type="expression" dxfId="14" priority="5">
      <formula>$C43&gt;=VALUE(RIGHT(#REF!,4))</formula>
    </cfRule>
  </conditionalFormatting>
  <conditionalFormatting sqref="N37:N43">
    <cfRule type="expression" dxfId="13" priority="33" stopIfTrue="1">
      <formula>$C37&gt;=VALUE(RIGHT(O$28,4))</formula>
    </cfRule>
  </conditionalFormatting>
  <conditionalFormatting sqref="O51 O75 O101">
    <cfRule type="expression" dxfId="12" priority="34" stopIfTrue="1">
      <formula>$C$50&gt;=VALUE(RIGHT(O$31,4))</formula>
    </cfRule>
  </conditionalFormatting>
  <conditionalFormatting sqref="O101">
    <cfRule type="expression" dxfId="11" priority="37" stopIfTrue="1">
      <formula>$C103&gt;=VALUE(RIGHT(O$31,4))</formula>
    </cfRule>
  </conditionalFormatting>
  <conditionalFormatting sqref="O40:O50">
    <cfRule type="expression" dxfId="10" priority="38">
      <formula>$C42&lt;=VALUE(RIGHT(O$30,4))</formula>
    </cfRule>
  </conditionalFormatting>
  <conditionalFormatting sqref="M101 M75 M51">
    <cfRule type="expression" dxfId="9" priority="4" stopIfTrue="1">
      <formula>$C$48&gt;=VALUE(RIGHT(M$31,4))</formula>
    </cfRule>
  </conditionalFormatting>
  <conditionalFormatting sqref="M101">
    <cfRule type="expression" dxfId="8" priority="3" stopIfTrue="1">
      <formula>$C101&gt;=VALUE(RIGHT(M$31,4))</formula>
    </cfRule>
  </conditionalFormatting>
  <conditionalFormatting sqref="M40:M50">
    <cfRule type="expression" dxfId="7" priority="2">
      <formula>$C40&lt;=VALUE(RIGHT(M$30,4))</formula>
    </cfRule>
  </conditionalFormatting>
  <conditionalFormatting sqref="M41">
    <cfRule type="expression" dxfId="6" priority="1">
      <formula>$C41&gt;=VALUE(RIGHT(#REF!,4))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58D304"/>
  </sheetPr>
  <dimension ref="A1:T20"/>
  <sheetViews>
    <sheetView workbookViewId="0">
      <selection activeCell="E11" sqref="E11"/>
    </sheetView>
  </sheetViews>
  <sheetFormatPr defaultColWidth="9.109375" defaultRowHeight="13.2"/>
  <cols>
    <col min="1" max="1" width="33.5546875" style="597" bestFit="1" customWidth="1"/>
    <col min="2" max="2" width="16.88671875" style="1491" bestFit="1" customWidth="1"/>
    <col min="3" max="8" width="9.6640625" style="167" bestFit="1" customWidth="1"/>
    <col min="9" max="9" width="9.88671875" style="167" bestFit="1" customWidth="1"/>
    <col min="10" max="18" width="9.6640625" style="167" bestFit="1" customWidth="1"/>
    <col min="19" max="19" width="9.88671875" style="167" bestFit="1" customWidth="1"/>
    <col min="20" max="20" width="9.6640625" style="167" bestFit="1" customWidth="1"/>
    <col min="21" max="16384" width="9.109375" style="167"/>
  </cols>
  <sheetData>
    <row r="1" spans="1:20">
      <c r="B1" s="1491">
        <f>+Forecast!H9</f>
        <v>2022</v>
      </c>
      <c r="C1" s="1506">
        <v>2021</v>
      </c>
      <c r="D1" s="1506">
        <f>+C1+1</f>
        <v>2022</v>
      </c>
      <c r="E1" s="1506">
        <f t="shared" ref="E1:T1" si="0">+D1+1</f>
        <v>2023</v>
      </c>
      <c r="F1" s="1506">
        <f t="shared" si="0"/>
        <v>2024</v>
      </c>
      <c r="G1" s="1506">
        <f t="shared" si="0"/>
        <v>2025</v>
      </c>
      <c r="H1" s="1506">
        <f t="shared" si="0"/>
        <v>2026</v>
      </c>
      <c r="I1" s="1506">
        <f t="shared" si="0"/>
        <v>2027</v>
      </c>
      <c r="J1" s="1506">
        <f t="shared" si="0"/>
        <v>2028</v>
      </c>
      <c r="K1" s="1506">
        <f t="shared" si="0"/>
        <v>2029</v>
      </c>
      <c r="L1" s="1506">
        <f t="shared" si="0"/>
        <v>2030</v>
      </c>
      <c r="M1" s="1506">
        <f t="shared" si="0"/>
        <v>2031</v>
      </c>
      <c r="N1" s="1506">
        <f t="shared" si="0"/>
        <v>2032</v>
      </c>
      <c r="O1" s="1506">
        <f t="shared" si="0"/>
        <v>2033</v>
      </c>
      <c r="P1" s="1506">
        <f t="shared" si="0"/>
        <v>2034</v>
      </c>
      <c r="Q1" s="1506">
        <f t="shared" si="0"/>
        <v>2035</v>
      </c>
      <c r="R1" s="1506">
        <f t="shared" si="0"/>
        <v>2036</v>
      </c>
      <c r="S1" s="1506">
        <f>+R1+1</f>
        <v>2037</v>
      </c>
      <c r="T1" s="1506">
        <f t="shared" si="0"/>
        <v>2038</v>
      </c>
    </row>
    <row r="2" spans="1:20" ht="13.8">
      <c r="A2" s="1492" t="s">
        <v>1006</v>
      </c>
      <c r="B2" s="1490"/>
    </row>
    <row r="3" spans="1:20" s="1505" customFormat="1" ht="13.8">
      <c r="A3" s="1492" t="s">
        <v>985</v>
      </c>
      <c r="B3" s="1510" t="s">
        <v>1064</v>
      </c>
      <c r="C3" s="1507" t="str">
        <f t="shared" ref="C3:T3" si="1">CONCATENATE("FY - ",C1)</f>
        <v>FY - 2021</v>
      </c>
      <c r="D3" s="1507" t="str">
        <f t="shared" si="1"/>
        <v>FY - 2022</v>
      </c>
      <c r="E3" s="1507" t="str">
        <f t="shared" si="1"/>
        <v>FY - 2023</v>
      </c>
      <c r="F3" s="1507" t="str">
        <f t="shared" si="1"/>
        <v>FY - 2024</v>
      </c>
      <c r="G3" s="1507" t="str">
        <f t="shared" si="1"/>
        <v>FY - 2025</v>
      </c>
      <c r="H3" s="1507" t="str">
        <f t="shared" si="1"/>
        <v>FY - 2026</v>
      </c>
      <c r="I3" s="1507" t="str">
        <f t="shared" si="1"/>
        <v>FY - 2027</v>
      </c>
      <c r="J3" s="1507" t="str">
        <f t="shared" si="1"/>
        <v>FY - 2028</v>
      </c>
      <c r="K3" s="1507" t="str">
        <f t="shared" si="1"/>
        <v>FY - 2029</v>
      </c>
      <c r="L3" s="1507" t="str">
        <f t="shared" si="1"/>
        <v>FY - 2030</v>
      </c>
      <c r="M3" s="1507" t="str">
        <f t="shared" si="1"/>
        <v>FY - 2031</v>
      </c>
      <c r="N3" s="1507" t="str">
        <f t="shared" si="1"/>
        <v>FY - 2032</v>
      </c>
      <c r="O3" s="1507" t="str">
        <f t="shared" si="1"/>
        <v>FY - 2033</v>
      </c>
      <c r="P3" s="1507" t="str">
        <f t="shared" si="1"/>
        <v>FY - 2034</v>
      </c>
      <c r="Q3" s="1507" t="str">
        <f t="shared" si="1"/>
        <v>FY - 2035</v>
      </c>
      <c r="R3" s="1507" t="str">
        <f t="shared" si="1"/>
        <v>FY - 2036</v>
      </c>
      <c r="S3" s="1507" t="str">
        <f t="shared" si="1"/>
        <v>FY - 2037</v>
      </c>
      <c r="T3" s="1507" t="str">
        <f t="shared" si="1"/>
        <v>FY - 2038</v>
      </c>
    </row>
    <row r="4" spans="1:20" ht="13.8">
      <c r="A4" s="1493" t="s">
        <v>1079</v>
      </c>
      <c r="B4" s="1511">
        <v>2037</v>
      </c>
      <c r="C4" s="1494">
        <v>100422</v>
      </c>
      <c r="D4" s="1494">
        <f t="shared" ref="D4:T4" si="2">IF($B$4&gt;=D$1,C4,0)</f>
        <v>100422</v>
      </c>
      <c r="E4" s="1494">
        <f t="shared" si="2"/>
        <v>100422</v>
      </c>
      <c r="F4" s="1494">
        <f t="shared" si="2"/>
        <v>100422</v>
      </c>
      <c r="G4" s="1494">
        <f t="shared" si="2"/>
        <v>100422</v>
      </c>
      <c r="H4" s="1494">
        <f t="shared" si="2"/>
        <v>100422</v>
      </c>
      <c r="I4" s="1494">
        <f t="shared" si="2"/>
        <v>100422</v>
      </c>
      <c r="J4" s="1494">
        <f t="shared" si="2"/>
        <v>100422</v>
      </c>
      <c r="K4" s="1494">
        <f t="shared" si="2"/>
        <v>100422</v>
      </c>
      <c r="L4" s="1494">
        <f t="shared" si="2"/>
        <v>100422</v>
      </c>
      <c r="M4" s="1494">
        <f t="shared" si="2"/>
        <v>100422</v>
      </c>
      <c r="N4" s="1494">
        <f t="shared" si="2"/>
        <v>100422</v>
      </c>
      <c r="O4" s="1494">
        <f t="shared" si="2"/>
        <v>100422</v>
      </c>
      <c r="P4" s="1494">
        <f t="shared" si="2"/>
        <v>100422</v>
      </c>
      <c r="Q4" s="1494">
        <f t="shared" si="2"/>
        <v>100422</v>
      </c>
      <c r="R4" s="1494">
        <f t="shared" si="2"/>
        <v>100422</v>
      </c>
      <c r="S4" s="1494">
        <f t="shared" si="2"/>
        <v>100422</v>
      </c>
      <c r="T4" s="1494">
        <f t="shared" si="2"/>
        <v>0</v>
      </c>
    </row>
    <row r="5" spans="1:20" ht="13.8">
      <c r="A5" s="337" t="s">
        <v>990</v>
      </c>
      <c r="B5" s="1511">
        <v>2035</v>
      </c>
      <c r="C5" s="1497">
        <v>26738</v>
      </c>
      <c r="D5" s="1498">
        <f t="shared" ref="D5:T5" si="3">IF($B$5&gt;=D$1,C5,0)</f>
        <v>26738</v>
      </c>
      <c r="E5" s="1498">
        <f t="shared" si="3"/>
        <v>26738</v>
      </c>
      <c r="F5" s="1498">
        <f t="shared" si="3"/>
        <v>26738</v>
      </c>
      <c r="G5" s="1498">
        <f t="shared" si="3"/>
        <v>26738</v>
      </c>
      <c r="H5" s="1498">
        <f t="shared" si="3"/>
        <v>26738</v>
      </c>
      <c r="I5" s="1498">
        <f t="shared" si="3"/>
        <v>26738</v>
      </c>
      <c r="J5" s="1498">
        <f t="shared" si="3"/>
        <v>26738</v>
      </c>
      <c r="K5" s="1498">
        <f t="shared" si="3"/>
        <v>26738</v>
      </c>
      <c r="L5" s="1498">
        <f t="shared" si="3"/>
        <v>26738</v>
      </c>
      <c r="M5" s="1498">
        <f t="shared" si="3"/>
        <v>26738</v>
      </c>
      <c r="N5" s="1498">
        <f t="shared" si="3"/>
        <v>26738</v>
      </c>
      <c r="O5" s="1498">
        <f t="shared" si="3"/>
        <v>26738</v>
      </c>
      <c r="P5" s="1498">
        <f t="shared" si="3"/>
        <v>26738</v>
      </c>
      <c r="Q5" s="1498">
        <f t="shared" si="3"/>
        <v>26738</v>
      </c>
      <c r="R5" s="1498">
        <f t="shared" si="3"/>
        <v>0</v>
      </c>
      <c r="S5" s="1498">
        <f t="shared" si="3"/>
        <v>0</v>
      </c>
      <c r="T5" s="1498">
        <f t="shared" si="3"/>
        <v>0</v>
      </c>
    </row>
    <row r="6" spans="1:20" ht="13.8">
      <c r="A6" s="337" t="s">
        <v>1007</v>
      </c>
      <c r="B6" s="1511">
        <v>2033</v>
      </c>
      <c r="C6" s="1497">
        <v>36052</v>
      </c>
      <c r="D6" s="1498">
        <f t="shared" ref="D6:T6" si="4">IF($B$6&gt;=D$1,C6,0)</f>
        <v>36052</v>
      </c>
      <c r="E6" s="1498">
        <f t="shared" si="4"/>
        <v>36052</v>
      </c>
      <c r="F6" s="1498">
        <f t="shared" si="4"/>
        <v>36052</v>
      </c>
      <c r="G6" s="1498">
        <f t="shared" si="4"/>
        <v>36052</v>
      </c>
      <c r="H6" s="1498">
        <f t="shared" si="4"/>
        <v>36052</v>
      </c>
      <c r="I6" s="1498">
        <f t="shared" si="4"/>
        <v>36052</v>
      </c>
      <c r="J6" s="1498">
        <f t="shared" si="4"/>
        <v>36052</v>
      </c>
      <c r="K6" s="1498">
        <f t="shared" si="4"/>
        <v>36052</v>
      </c>
      <c r="L6" s="1498">
        <f t="shared" si="4"/>
        <v>36052</v>
      </c>
      <c r="M6" s="1498">
        <f t="shared" si="4"/>
        <v>36052</v>
      </c>
      <c r="N6" s="1498">
        <f t="shared" si="4"/>
        <v>36052</v>
      </c>
      <c r="O6" s="1498">
        <f t="shared" si="4"/>
        <v>36052</v>
      </c>
      <c r="P6" s="1498">
        <f t="shared" si="4"/>
        <v>0</v>
      </c>
      <c r="Q6" s="1498">
        <f t="shared" si="4"/>
        <v>0</v>
      </c>
      <c r="R6" s="1498">
        <f t="shared" si="4"/>
        <v>0</v>
      </c>
      <c r="S6" s="1498">
        <f t="shared" si="4"/>
        <v>0</v>
      </c>
      <c r="T6" s="1498">
        <f t="shared" si="4"/>
        <v>0</v>
      </c>
    </row>
    <row r="7" spans="1:20" ht="13.8">
      <c r="A7" s="337" t="s">
        <v>994</v>
      </c>
      <c r="B7" s="1511">
        <v>2030</v>
      </c>
      <c r="C7" s="1497">
        <v>11444</v>
      </c>
      <c r="D7" s="1498">
        <f t="shared" ref="D7:T7" si="5">IF($B$7&gt;=D$1,C7,0)</f>
        <v>11444</v>
      </c>
      <c r="E7" s="1498">
        <f t="shared" si="5"/>
        <v>11444</v>
      </c>
      <c r="F7" s="1498">
        <f t="shared" si="5"/>
        <v>11444</v>
      </c>
      <c r="G7" s="1498">
        <f t="shared" si="5"/>
        <v>11444</v>
      </c>
      <c r="H7" s="1498">
        <f t="shared" si="5"/>
        <v>11444</v>
      </c>
      <c r="I7" s="1498">
        <f t="shared" si="5"/>
        <v>11444</v>
      </c>
      <c r="J7" s="1498">
        <f t="shared" si="5"/>
        <v>11444</v>
      </c>
      <c r="K7" s="1498">
        <f t="shared" si="5"/>
        <v>11444</v>
      </c>
      <c r="L7" s="1498">
        <f t="shared" si="5"/>
        <v>11444</v>
      </c>
      <c r="M7" s="1498">
        <f t="shared" si="5"/>
        <v>0</v>
      </c>
      <c r="N7" s="1498">
        <f t="shared" si="5"/>
        <v>0</v>
      </c>
      <c r="O7" s="1498">
        <f t="shared" si="5"/>
        <v>0</v>
      </c>
      <c r="P7" s="1498">
        <f t="shared" si="5"/>
        <v>0</v>
      </c>
      <c r="Q7" s="1498">
        <f t="shared" si="5"/>
        <v>0</v>
      </c>
      <c r="R7" s="1498">
        <f t="shared" si="5"/>
        <v>0</v>
      </c>
      <c r="S7" s="1498">
        <f t="shared" si="5"/>
        <v>0</v>
      </c>
      <c r="T7" s="1498">
        <f t="shared" si="5"/>
        <v>0</v>
      </c>
    </row>
    <row r="8" spans="1:20" ht="13.8">
      <c r="A8" s="337" t="s">
        <v>986</v>
      </c>
      <c r="B8" s="1511">
        <v>2027</v>
      </c>
      <c r="C8" s="1497">
        <v>150095</v>
      </c>
      <c r="D8" s="1498">
        <f t="shared" ref="D8:T8" si="6">IF($B$8&gt;=D$1,C8,0)</f>
        <v>150095</v>
      </c>
      <c r="E8" s="1498">
        <f t="shared" si="6"/>
        <v>150095</v>
      </c>
      <c r="F8" s="1498">
        <f t="shared" si="6"/>
        <v>150095</v>
      </c>
      <c r="G8" s="1498">
        <f t="shared" si="6"/>
        <v>150095</v>
      </c>
      <c r="H8" s="1498">
        <f t="shared" si="6"/>
        <v>150095</v>
      </c>
      <c r="I8" s="1498">
        <f t="shared" si="6"/>
        <v>150095</v>
      </c>
      <c r="J8" s="1498">
        <f t="shared" si="6"/>
        <v>0</v>
      </c>
      <c r="K8" s="1498">
        <f t="shared" si="6"/>
        <v>0</v>
      </c>
      <c r="L8" s="1498">
        <f t="shared" si="6"/>
        <v>0</v>
      </c>
      <c r="M8" s="1498">
        <f t="shared" si="6"/>
        <v>0</v>
      </c>
      <c r="N8" s="1498">
        <f t="shared" si="6"/>
        <v>0</v>
      </c>
      <c r="O8" s="1498">
        <f t="shared" si="6"/>
        <v>0</v>
      </c>
      <c r="P8" s="1498">
        <f t="shared" si="6"/>
        <v>0</v>
      </c>
      <c r="Q8" s="1498">
        <f t="shared" si="6"/>
        <v>0</v>
      </c>
      <c r="R8" s="1498">
        <f t="shared" si="6"/>
        <v>0</v>
      </c>
      <c r="S8" s="1498">
        <f t="shared" si="6"/>
        <v>0</v>
      </c>
      <c r="T8" s="1498">
        <f t="shared" si="6"/>
        <v>0</v>
      </c>
    </row>
    <row r="9" spans="1:20" ht="13.8">
      <c r="A9" s="337" t="s">
        <v>988</v>
      </c>
      <c r="B9" s="1511">
        <v>2024</v>
      </c>
      <c r="C9" s="1497">
        <v>2634</v>
      </c>
      <c r="D9" s="1498">
        <f t="shared" ref="D9:T9" si="7">IF($B$9&gt;=D$1,C9,0)</f>
        <v>2634</v>
      </c>
      <c r="E9" s="1498">
        <f t="shared" si="7"/>
        <v>2634</v>
      </c>
      <c r="F9" s="1498">
        <f t="shared" si="7"/>
        <v>2634</v>
      </c>
      <c r="G9" s="1498">
        <f t="shared" si="7"/>
        <v>0</v>
      </c>
      <c r="H9" s="1498">
        <f t="shared" si="7"/>
        <v>0</v>
      </c>
      <c r="I9" s="1498">
        <f t="shared" si="7"/>
        <v>0</v>
      </c>
      <c r="J9" s="1498">
        <f t="shared" si="7"/>
        <v>0</v>
      </c>
      <c r="K9" s="1498">
        <f t="shared" si="7"/>
        <v>0</v>
      </c>
      <c r="L9" s="1498">
        <f t="shared" si="7"/>
        <v>0</v>
      </c>
      <c r="M9" s="1498">
        <f t="shared" si="7"/>
        <v>0</v>
      </c>
      <c r="N9" s="1498">
        <f t="shared" si="7"/>
        <v>0</v>
      </c>
      <c r="O9" s="1498">
        <f t="shared" si="7"/>
        <v>0</v>
      </c>
      <c r="P9" s="1498">
        <f t="shared" si="7"/>
        <v>0</v>
      </c>
      <c r="Q9" s="1498">
        <f t="shared" si="7"/>
        <v>0</v>
      </c>
      <c r="R9" s="1498">
        <f t="shared" si="7"/>
        <v>0</v>
      </c>
      <c r="S9" s="1498">
        <f t="shared" si="7"/>
        <v>0</v>
      </c>
      <c r="T9" s="1498">
        <f t="shared" si="7"/>
        <v>0</v>
      </c>
    </row>
    <row r="10" spans="1:20" ht="13.8">
      <c r="A10" s="337" t="s">
        <v>989</v>
      </c>
      <c r="B10" s="1511">
        <v>2024</v>
      </c>
      <c r="C10" s="1497">
        <v>2315</v>
      </c>
      <c r="D10" s="1498">
        <f t="shared" ref="D10:T10" si="8">IF($B$10&gt;=D$1,C10,0)</f>
        <v>2315</v>
      </c>
      <c r="E10" s="1498">
        <f t="shared" si="8"/>
        <v>2315</v>
      </c>
      <c r="F10" s="1498">
        <f t="shared" si="8"/>
        <v>2315</v>
      </c>
      <c r="G10" s="1498">
        <f t="shared" si="8"/>
        <v>0</v>
      </c>
      <c r="H10" s="1498">
        <f t="shared" si="8"/>
        <v>0</v>
      </c>
      <c r="I10" s="1498">
        <f t="shared" si="8"/>
        <v>0</v>
      </c>
      <c r="J10" s="1498">
        <f t="shared" si="8"/>
        <v>0</v>
      </c>
      <c r="K10" s="1498">
        <f t="shared" si="8"/>
        <v>0</v>
      </c>
      <c r="L10" s="1498">
        <f t="shared" si="8"/>
        <v>0</v>
      </c>
      <c r="M10" s="1498">
        <f t="shared" si="8"/>
        <v>0</v>
      </c>
      <c r="N10" s="1498">
        <f t="shared" si="8"/>
        <v>0</v>
      </c>
      <c r="O10" s="1498">
        <f t="shared" si="8"/>
        <v>0</v>
      </c>
      <c r="P10" s="1498">
        <f t="shared" si="8"/>
        <v>0</v>
      </c>
      <c r="Q10" s="1498">
        <f t="shared" si="8"/>
        <v>0</v>
      </c>
      <c r="R10" s="1498">
        <f t="shared" si="8"/>
        <v>0</v>
      </c>
      <c r="S10" s="1498">
        <f t="shared" si="8"/>
        <v>0</v>
      </c>
      <c r="T10" s="1498">
        <f t="shared" si="8"/>
        <v>0</v>
      </c>
    </row>
    <row r="11" spans="1:20" ht="13.8">
      <c r="A11" s="337" t="s">
        <v>993</v>
      </c>
      <c r="B11" s="1511">
        <v>2024</v>
      </c>
      <c r="C11" s="1497">
        <v>7550</v>
      </c>
      <c r="D11" s="1498">
        <f t="shared" ref="D11:T11" si="9">IF($B$11&gt;=D$1,C11,0)</f>
        <v>7550</v>
      </c>
      <c r="E11" s="1498">
        <f t="shared" si="9"/>
        <v>7550</v>
      </c>
      <c r="F11" s="1498">
        <f t="shared" si="9"/>
        <v>7550</v>
      </c>
      <c r="G11" s="1498">
        <f t="shared" si="9"/>
        <v>0</v>
      </c>
      <c r="H11" s="1498">
        <f t="shared" si="9"/>
        <v>0</v>
      </c>
      <c r="I11" s="1498">
        <f t="shared" si="9"/>
        <v>0</v>
      </c>
      <c r="J11" s="1498">
        <f t="shared" si="9"/>
        <v>0</v>
      </c>
      <c r="K11" s="1498">
        <f t="shared" si="9"/>
        <v>0</v>
      </c>
      <c r="L11" s="1498">
        <f t="shared" si="9"/>
        <v>0</v>
      </c>
      <c r="M11" s="1498">
        <f t="shared" si="9"/>
        <v>0</v>
      </c>
      <c r="N11" s="1498">
        <f t="shared" si="9"/>
        <v>0</v>
      </c>
      <c r="O11" s="1498">
        <f t="shared" si="9"/>
        <v>0</v>
      </c>
      <c r="P11" s="1498">
        <f t="shared" si="9"/>
        <v>0</v>
      </c>
      <c r="Q11" s="1498">
        <f t="shared" si="9"/>
        <v>0</v>
      </c>
      <c r="R11" s="1498">
        <f t="shared" si="9"/>
        <v>0</v>
      </c>
      <c r="S11" s="1498">
        <f t="shared" si="9"/>
        <v>0</v>
      </c>
      <c r="T11" s="1498">
        <f t="shared" si="9"/>
        <v>0</v>
      </c>
    </row>
    <row r="12" spans="1:20" ht="13.8">
      <c r="A12" s="337" t="s">
        <v>991</v>
      </c>
      <c r="B12" s="1511">
        <v>2022</v>
      </c>
      <c r="C12" s="1497">
        <v>6715</v>
      </c>
      <c r="D12" s="1498">
        <f t="shared" ref="D12:T12" si="10">IF($B$12&gt;=D$1,C12,0)</f>
        <v>6715</v>
      </c>
      <c r="E12" s="1498">
        <f t="shared" si="10"/>
        <v>0</v>
      </c>
      <c r="F12" s="1498">
        <f t="shared" si="10"/>
        <v>0</v>
      </c>
      <c r="G12" s="1498">
        <f t="shared" si="10"/>
        <v>0</v>
      </c>
      <c r="H12" s="1498">
        <f t="shared" si="10"/>
        <v>0</v>
      </c>
      <c r="I12" s="1498">
        <f t="shared" si="10"/>
        <v>0</v>
      </c>
      <c r="J12" s="1498">
        <f t="shared" si="10"/>
        <v>0</v>
      </c>
      <c r="K12" s="1498">
        <f t="shared" si="10"/>
        <v>0</v>
      </c>
      <c r="L12" s="1498">
        <f t="shared" si="10"/>
        <v>0</v>
      </c>
      <c r="M12" s="1498">
        <f t="shared" si="10"/>
        <v>0</v>
      </c>
      <c r="N12" s="1498">
        <f t="shared" si="10"/>
        <v>0</v>
      </c>
      <c r="O12" s="1498">
        <f t="shared" si="10"/>
        <v>0</v>
      </c>
      <c r="P12" s="1498">
        <f t="shared" si="10"/>
        <v>0</v>
      </c>
      <c r="Q12" s="1498">
        <f t="shared" si="10"/>
        <v>0</v>
      </c>
      <c r="R12" s="1498">
        <f t="shared" si="10"/>
        <v>0</v>
      </c>
      <c r="S12" s="1498">
        <f t="shared" si="10"/>
        <v>0</v>
      </c>
      <c r="T12" s="1498">
        <f t="shared" si="10"/>
        <v>0</v>
      </c>
    </row>
    <row r="13" spans="1:20" ht="13.8">
      <c r="A13" s="337" t="s">
        <v>992</v>
      </c>
      <c r="B13" s="1511">
        <v>2022</v>
      </c>
      <c r="C13" s="1497">
        <v>14327</v>
      </c>
      <c r="D13" s="1498">
        <f t="shared" ref="D13:T13" si="11">IF($B$13&gt;=D$1,C13,0)</f>
        <v>14327</v>
      </c>
      <c r="E13" s="1498">
        <f t="shared" si="11"/>
        <v>0</v>
      </c>
      <c r="F13" s="1498">
        <f t="shared" si="11"/>
        <v>0</v>
      </c>
      <c r="G13" s="1498">
        <f t="shared" si="11"/>
        <v>0</v>
      </c>
      <c r="H13" s="1498">
        <f t="shared" si="11"/>
        <v>0</v>
      </c>
      <c r="I13" s="1498">
        <f t="shared" si="11"/>
        <v>0</v>
      </c>
      <c r="J13" s="1498">
        <f t="shared" si="11"/>
        <v>0</v>
      </c>
      <c r="K13" s="1498">
        <f t="shared" si="11"/>
        <v>0</v>
      </c>
      <c r="L13" s="1498">
        <f t="shared" si="11"/>
        <v>0</v>
      </c>
      <c r="M13" s="1498">
        <f t="shared" si="11"/>
        <v>0</v>
      </c>
      <c r="N13" s="1498">
        <f t="shared" si="11"/>
        <v>0</v>
      </c>
      <c r="O13" s="1498">
        <f t="shared" si="11"/>
        <v>0</v>
      </c>
      <c r="P13" s="1498">
        <f t="shared" si="11"/>
        <v>0</v>
      </c>
      <c r="Q13" s="1498">
        <f t="shared" si="11"/>
        <v>0</v>
      </c>
      <c r="R13" s="1498">
        <f t="shared" si="11"/>
        <v>0</v>
      </c>
      <c r="S13" s="1498">
        <f t="shared" si="11"/>
        <v>0</v>
      </c>
      <c r="T13" s="1498">
        <f t="shared" si="11"/>
        <v>0</v>
      </c>
    </row>
    <row r="14" spans="1:20" ht="13.8">
      <c r="A14" s="337" t="s">
        <v>987</v>
      </c>
      <c r="B14" s="1512">
        <v>2021</v>
      </c>
      <c r="C14" s="1499">
        <v>5261</v>
      </c>
      <c r="D14" s="1500">
        <f t="shared" ref="D14:T14" si="12">IF($B$14&gt;=D$1,C14,0)</f>
        <v>0</v>
      </c>
      <c r="E14" s="1500">
        <f t="shared" si="12"/>
        <v>0</v>
      </c>
      <c r="F14" s="1500">
        <f t="shared" si="12"/>
        <v>0</v>
      </c>
      <c r="G14" s="1500">
        <f t="shared" si="12"/>
        <v>0</v>
      </c>
      <c r="H14" s="1500">
        <f t="shared" si="12"/>
        <v>0</v>
      </c>
      <c r="I14" s="1500">
        <f t="shared" si="12"/>
        <v>0</v>
      </c>
      <c r="J14" s="1500">
        <f t="shared" si="12"/>
        <v>0</v>
      </c>
      <c r="K14" s="1500">
        <f t="shared" si="12"/>
        <v>0</v>
      </c>
      <c r="L14" s="1500">
        <f t="shared" si="12"/>
        <v>0</v>
      </c>
      <c r="M14" s="1500">
        <f t="shared" si="12"/>
        <v>0</v>
      </c>
      <c r="N14" s="1500">
        <f t="shared" si="12"/>
        <v>0</v>
      </c>
      <c r="O14" s="1500">
        <f t="shared" si="12"/>
        <v>0</v>
      </c>
      <c r="P14" s="1500">
        <f t="shared" si="12"/>
        <v>0</v>
      </c>
      <c r="Q14" s="1500">
        <f t="shared" si="12"/>
        <v>0</v>
      </c>
      <c r="R14" s="1500">
        <f t="shared" si="12"/>
        <v>0</v>
      </c>
      <c r="S14" s="1500">
        <f t="shared" si="12"/>
        <v>0</v>
      </c>
      <c r="T14" s="1500">
        <f t="shared" si="12"/>
        <v>0</v>
      </c>
    </row>
    <row r="15" spans="1:20" ht="13.8">
      <c r="C15" s="1495"/>
      <c r="D15" s="1494"/>
      <c r="E15" s="1494"/>
      <c r="F15" s="1494"/>
      <c r="G15" s="1494"/>
      <c r="H15" s="1494"/>
      <c r="I15" s="1494"/>
      <c r="J15" s="1494"/>
      <c r="K15" s="1494"/>
      <c r="L15" s="1494"/>
      <c r="M15" s="1494"/>
      <c r="N15" s="1494"/>
      <c r="O15" s="1494"/>
      <c r="P15" s="1494"/>
      <c r="Q15" s="1494"/>
      <c r="R15" s="1494"/>
      <c r="S15" s="1494"/>
    </row>
    <row r="16" spans="1:20" s="1504" customFormat="1" ht="13.8">
      <c r="A16" s="339"/>
      <c r="B16" s="1502" t="s">
        <v>1065</v>
      </c>
      <c r="C16" s="1503">
        <f>SUM(C5:C15)</f>
        <v>263131</v>
      </c>
      <c r="D16" s="1501">
        <f>SUM(D4:D14)</f>
        <v>358292</v>
      </c>
      <c r="E16" s="1501">
        <f t="shared" ref="E16:S16" si="13">SUM(E4:E14)</f>
        <v>337250</v>
      </c>
      <c r="F16" s="1501">
        <f t="shared" si="13"/>
        <v>337250</v>
      </c>
      <c r="G16" s="1501">
        <f t="shared" si="13"/>
        <v>324751</v>
      </c>
      <c r="H16" s="1501">
        <f t="shared" si="13"/>
        <v>324751</v>
      </c>
      <c r="I16" s="1501">
        <f t="shared" si="13"/>
        <v>324751</v>
      </c>
      <c r="J16" s="1501">
        <f t="shared" si="13"/>
        <v>174656</v>
      </c>
      <c r="K16" s="1501">
        <f t="shared" si="13"/>
        <v>174656</v>
      </c>
      <c r="L16" s="1501">
        <f t="shared" si="13"/>
        <v>174656</v>
      </c>
      <c r="M16" s="1501">
        <f t="shared" si="13"/>
        <v>163212</v>
      </c>
      <c r="N16" s="1501">
        <f t="shared" si="13"/>
        <v>163212</v>
      </c>
      <c r="O16" s="1501">
        <f t="shared" si="13"/>
        <v>163212</v>
      </c>
      <c r="P16" s="1501">
        <f t="shared" si="13"/>
        <v>127160</v>
      </c>
      <c r="Q16" s="1501">
        <f t="shared" si="13"/>
        <v>127160</v>
      </c>
      <c r="R16" s="1501">
        <f t="shared" si="13"/>
        <v>100422</v>
      </c>
      <c r="S16" s="1501">
        <f t="shared" si="13"/>
        <v>100422</v>
      </c>
      <c r="T16" s="1501">
        <f t="shared" ref="T16" si="14">SUM(T4:T14)</f>
        <v>0</v>
      </c>
    </row>
    <row r="17" spans="2:20" ht="13.8">
      <c r="B17" s="1491" t="s">
        <v>1066</v>
      </c>
      <c r="C17" s="1508">
        <v>-5261</v>
      </c>
      <c r="D17" s="1508">
        <v>-21042</v>
      </c>
      <c r="E17" s="1508">
        <v>0</v>
      </c>
      <c r="F17" s="1508">
        <v>-12499</v>
      </c>
      <c r="G17" s="1508">
        <v>0</v>
      </c>
      <c r="H17" s="1508">
        <v>0</v>
      </c>
      <c r="I17" s="1508">
        <v>-150095</v>
      </c>
      <c r="J17" s="1508">
        <v>0</v>
      </c>
      <c r="K17" s="1508">
        <v>0</v>
      </c>
      <c r="L17" s="1508">
        <v>-11444</v>
      </c>
      <c r="M17" s="1508">
        <v>0</v>
      </c>
      <c r="N17" s="1508">
        <v>0</v>
      </c>
      <c r="O17" s="1508">
        <v>-36052</v>
      </c>
      <c r="P17" s="1508">
        <v>0</v>
      </c>
      <c r="Q17" s="1508">
        <v>-26738</v>
      </c>
      <c r="R17" s="1508">
        <v>0</v>
      </c>
      <c r="S17" s="1508">
        <v>-100422</v>
      </c>
      <c r="T17" s="1508">
        <v>0</v>
      </c>
    </row>
    <row r="18" spans="2:20" ht="13.8">
      <c r="B18" s="1491" t="s">
        <v>1067</v>
      </c>
      <c r="C18" s="1508">
        <v>0</v>
      </c>
      <c r="D18" s="1508">
        <f>+D16-C16-C17</f>
        <v>100422</v>
      </c>
      <c r="E18" s="1508">
        <f t="shared" ref="E18:T18" si="15">+E16-D16-D17</f>
        <v>0</v>
      </c>
      <c r="F18" s="1508">
        <f t="shared" si="15"/>
        <v>0</v>
      </c>
      <c r="G18" s="1508">
        <f t="shared" si="15"/>
        <v>0</v>
      </c>
      <c r="H18" s="1508">
        <f t="shared" si="15"/>
        <v>0</v>
      </c>
      <c r="I18" s="1508">
        <f t="shared" si="15"/>
        <v>0</v>
      </c>
      <c r="J18" s="1508">
        <f t="shared" si="15"/>
        <v>0</v>
      </c>
      <c r="K18" s="1508">
        <f t="shared" si="15"/>
        <v>0</v>
      </c>
      <c r="L18" s="1508">
        <f t="shared" si="15"/>
        <v>0</v>
      </c>
      <c r="M18" s="1508">
        <f t="shared" si="15"/>
        <v>0</v>
      </c>
      <c r="N18" s="1508">
        <f t="shared" si="15"/>
        <v>0</v>
      </c>
      <c r="O18" s="1508">
        <f t="shared" si="15"/>
        <v>0</v>
      </c>
      <c r="P18" s="1508">
        <f t="shared" si="15"/>
        <v>0</v>
      </c>
      <c r="Q18" s="1508">
        <f t="shared" si="15"/>
        <v>0</v>
      </c>
      <c r="R18" s="1508">
        <f t="shared" si="15"/>
        <v>0</v>
      </c>
      <c r="S18" s="1508">
        <f t="shared" si="15"/>
        <v>0</v>
      </c>
      <c r="T18" s="1508">
        <f t="shared" si="15"/>
        <v>0</v>
      </c>
    </row>
    <row r="20" spans="2:20">
      <c r="C20" s="1496">
        <f>-C17</f>
        <v>5261</v>
      </c>
      <c r="D20" s="1496">
        <f t="shared" ref="D20:T20" si="16">-D17</f>
        <v>21042</v>
      </c>
      <c r="E20" s="1496">
        <f t="shared" si="16"/>
        <v>0</v>
      </c>
      <c r="F20" s="1496">
        <f t="shared" si="16"/>
        <v>12499</v>
      </c>
      <c r="G20" s="1496">
        <f t="shared" si="16"/>
        <v>0</v>
      </c>
      <c r="H20" s="1496">
        <f t="shared" si="16"/>
        <v>0</v>
      </c>
      <c r="I20" s="1496">
        <f t="shared" si="16"/>
        <v>150095</v>
      </c>
      <c r="J20" s="1496">
        <f t="shared" si="16"/>
        <v>0</v>
      </c>
      <c r="K20" s="1496">
        <f t="shared" si="16"/>
        <v>0</v>
      </c>
      <c r="L20" s="1496">
        <f t="shared" si="16"/>
        <v>11444</v>
      </c>
      <c r="M20" s="1496">
        <f t="shared" si="16"/>
        <v>0</v>
      </c>
      <c r="N20" s="1496">
        <f t="shared" si="16"/>
        <v>0</v>
      </c>
      <c r="O20" s="1496">
        <f t="shared" si="16"/>
        <v>36052</v>
      </c>
      <c r="P20" s="1496">
        <f t="shared" si="16"/>
        <v>0</v>
      </c>
      <c r="Q20" s="1496">
        <f t="shared" si="16"/>
        <v>26738</v>
      </c>
      <c r="R20" s="1496">
        <f t="shared" si="16"/>
        <v>0</v>
      </c>
      <c r="S20" s="1496">
        <f t="shared" si="16"/>
        <v>100422</v>
      </c>
      <c r="T20" s="1496">
        <f t="shared" si="16"/>
        <v>0</v>
      </c>
    </row>
  </sheetData>
  <conditionalFormatting sqref="C4:T14">
    <cfRule type="cellIs" dxfId="5" priority="5" operator="lessThan">
      <formula>0.01</formula>
    </cfRule>
    <cfRule type="cellIs" dxfId="4" priority="6" operator="greaterThan">
      <formula>0</formula>
    </cfRule>
  </conditionalFormatting>
  <conditionalFormatting sqref="B4:B14">
    <cfRule type="cellIs" dxfId="3" priority="3" operator="greaterThan">
      <formula>$B$1</formula>
    </cfRule>
    <cfRule type="cellIs" dxfId="2" priority="4" operator="equal">
      <formula>$B$1</formula>
    </cfRule>
  </conditionalFormatting>
  <conditionalFormatting sqref="C17:T1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58D304"/>
    <pageSetUpPr fitToPage="1"/>
  </sheetPr>
  <dimension ref="A1:AI412"/>
  <sheetViews>
    <sheetView showGridLines="0" topLeftCell="A131" workbookViewId="0">
      <selection activeCell="M182" sqref="M182"/>
    </sheetView>
  </sheetViews>
  <sheetFormatPr defaultColWidth="9.109375" defaultRowHeight="13.8"/>
  <cols>
    <col min="1" max="1" width="41" style="804" customWidth="1"/>
    <col min="2" max="2" width="1.5546875" style="804" customWidth="1"/>
    <col min="3" max="4" width="15.5546875" style="316" customWidth="1"/>
    <col min="5" max="5" width="18.33203125" style="316" customWidth="1"/>
    <col min="6" max="10" width="15.5546875" style="316" customWidth="1"/>
    <col min="11" max="11" width="4.88671875" style="316" customWidth="1"/>
    <col min="12" max="12" width="15.5546875" style="352" customWidth="1"/>
    <col min="13" max="13" width="33.5546875" style="352" customWidth="1"/>
    <col min="14" max="14" width="11.5546875" style="352" customWidth="1"/>
    <col min="15" max="15" width="12.88671875" style="352" customWidth="1"/>
    <col min="16" max="16" width="12.44140625" style="352" bestFit="1" customWidth="1"/>
    <col min="17" max="23" width="3.6640625" style="352" customWidth="1"/>
    <col min="24" max="27" width="3.6640625" style="316" customWidth="1"/>
    <col min="28" max="28" width="9.109375" style="316" customWidth="1"/>
    <col min="29" max="29" width="42.5546875" style="1019" customWidth="1"/>
    <col min="30" max="34" width="16.6640625" style="1025" bestFit="1" customWidth="1"/>
    <col min="35" max="35" width="9.109375" style="361"/>
    <col min="36" max="16384" width="9.109375" style="316"/>
  </cols>
  <sheetData>
    <row r="1" spans="1:35" ht="14.4">
      <c r="A1" s="850" t="str">
        <f>+Cover!D58</f>
        <v>Madison Local School District</v>
      </c>
      <c r="B1" s="740"/>
      <c r="K1" s="68" t="s">
        <v>766</v>
      </c>
      <c r="AC1" s="1010"/>
      <c r="AD1" s="1011"/>
      <c r="AE1" s="1011"/>
      <c r="AF1" s="1011"/>
      <c r="AG1" s="1011"/>
      <c r="AH1" s="1011"/>
    </row>
    <row r="2" spans="1:35">
      <c r="A2" s="850" t="s">
        <v>186</v>
      </c>
      <c r="B2" s="740"/>
      <c r="AC2" s="1010"/>
      <c r="AD2" s="1011"/>
      <c r="AE2" s="1011"/>
      <c r="AF2" s="1011"/>
      <c r="AG2" s="1011"/>
      <c r="AH2" s="1011"/>
    </row>
    <row r="3" spans="1:35">
      <c r="A3" s="1001">
        <v>43048</v>
      </c>
      <c r="B3" s="740"/>
      <c r="AC3" s="1010"/>
      <c r="AD3" s="1011"/>
      <c r="AE3" s="1011"/>
      <c r="AF3" s="1011"/>
      <c r="AG3" s="1011"/>
      <c r="AH3" s="1011"/>
    </row>
    <row r="4" spans="1:35">
      <c r="A4" s="851"/>
      <c r="B4" s="740"/>
      <c r="AC4" s="1010"/>
      <c r="AD4" s="1011"/>
      <c r="AE4" s="1011"/>
      <c r="AF4" s="1011"/>
      <c r="AG4" s="1011"/>
      <c r="AH4" s="1011"/>
    </row>
    <row r="5" spans="1:35">
      <c r="A5" s="851" t="s">
        <v>187</v>
      </c>
      <c r="B5" s="740"/>
      <c r="AC5" s="1010"/>
      <c r="AD5" s="1011"/>
      <c r="AE5" s="1011"/>
      <c r="AF5" s="1011"/>
      <c r="AG5" s="1011"/>
      <c r="AH5" s="1011"/>
    </row>
    <row r="6" spans="1:35">
      <c r="A6" s="317" t="s">
        <v>188</v>
      </c>
      <c r="B6" s="740"/>
      <c r="AC6" s="1010"/>
      <c r="AD6" s="1011"/>
      <c r="AE6" s="1011"/>
      <c r="AF6" s="1011"/>
      <c r="AG6" s="1011"/>
      <c r="AH6" s="1011"/>
    </row>
    <row r="7" spans="1:35">
      <c r="A7" s="317" t="s">
        <v>975</v>
      </c>
      <c r="B7" s="740"/>
      <c r="AC7" s="1010"/>
      <c r="AD7" s="1011"/>
      <c r="AE7" s="1011"/>
      <c r="AF7" s="1011"/>
      <c r="AG7" s="1011"/>
      <c r="AH7" s="1011"/>
    </row>
    <row r="8" spans="1:35" ht="9.75" customHeight="1">
      <c r="A8" s="317"/>
      <c r="B8" s="740"/>
      <c r="AC8" s="1010"/>
      <c r="AD8" s="1011"/>
      <c r="AE8" s="1011"/>
      <c r="AF8" s="1011"/>
      <c r="AG8" s="1011"/>
      <c r="AH8" s="1011"/>
    </row>
    <row r="9" spans="1:35">
      <c r="A9" s="852" t="s">
        <v>262</v>
      </c>
      <c r="B9" s="738"/>
      <c r="C9" s="318"/>
      <c r="D9" s="318"/>
      <c r="E9" s="481"/>
      <c r="F9" s="585"/>
      <c r="G9" s="652"/>
      <c r="H9" s="670"/>
      <c r="I9" s="714"/>
      <c r="J9" s="738"/>
      <c r="K9" s="318"/>
      <c r="L9" s="1548"/>
      <c r="AC9" s="1010"/>
      <c r="AD9" s="1011"/>
      <c r="AE9" s="1011"/>
      <c r="AF9" s="1011"/>
      <c r="AG9" s="1011"/>
      <c r="AH9" s="1011"/>
    </row>
    <row r="10" spans="1:35" s="319" customFormat="1" ht="14.4" thickBot="1">
      <c r="A10" s="852" t="s">
        <v>372</v>
      </c>
      <c r="B10" s="738"/>
      <c r="C10" s="318"/>
      <c r="D10" s="318"/>
      <c r="E10" s="481"/>
      <c r="F10" s="585"/>
      <c r="G10" s="652"/>
      <c r="H10" s="670"/>
      <c r="I10" s="714"/>
      <c r="J10" s="738"/>
      <c r="K10" s="318"/>
      <c r="L10" s="1548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AC10" s="1010"/>
      <c r="AD10" s="1011"/>
      <c r="AE10" s="1011"/>
      <c r="AF10" s="1011"/>
      <c r="AG10" s="1011"/>
      <c r="AH10" s="1011"/>
      <c r="AI10" s="352"/>
    </row>
    <row r="11" spans="1:35" s="319" customFormat="1">
      <c r="A11" s="741" t="s">
        <v>373</v>
      </c>
      <c r="B11" s="742"/>
      <c r="C11" s="320"/>
      <c r="D11" s="320"/>
      <c r="E11" s="320"/>
      <c r="F11" s="320"/>
      <c r="G11" s="320"/>
      <c r="H11" s="320"/>
      <c r="I11" s="320"/>
      <c r="J11" s="320"/>
      <c r="K11" s="320"/>
      <c r="L11" s="352"/>
      <c r="M11" s="352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AC11" s="1010"/>
      <c r="AD11" s="1011"/>
      <c r="AE11" s="1011"/>
      <c r="AF11" s="1011"/>
      <c r="AG11" s="1011"/>
      <c r="AH11" s="1011"/>
      <c r="AI11" s="352"/>
    </row>
    <row r="12" spans="1:35" s="319" customFormat="1">
      <c r="A12" s="743"/>
      <c r="B12" s="743"/>
      <c r="C12" s="321"/>
      <c r="D12" s="321"/>
      <c r="E12" s="321"/>
      <c r="F12" s="321"/>
      <c r="G12" s="321"/>
      <c r="H12" s="321"/>
      <c r="I12" s="321"/>
      <c r="J12" s="321"/>
      <c r="K12" s="321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AC12" s="1010"/>
      <c r="AD12" s="1011"/>
      <c r="AE12" s="1011"/>
      <c r="AF12" s="1011"/>
      <c r="AG12" s="1011"/>
      <c r="AH12" s="1011"/>
      <c r="AI12" s="352"/>
    </row>
    <row r="13" spans="1:35" s="319" customFormat="1">
      <c r="A13" s="744" t="s">
        <v>185</v>
      </c>
      <c r="B13" s="743"/>
      <c r="C13" s="321"/>
      <c r="D13" s="321"/>
      <c r="E13" s="321"/>
      <c r="F13" s="321"/>
      <c r="G13" s="321"/>
      <c r="H13" s="321"/>
      <c r="I13" s="321"/>
      <c r="J13" s="321"/>
      <c r="K13" s="321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AC13" s="1010"/>
      <c r="AD13" s="1011"/>
      <c r="AE13" s="1011"/>
      <c r="AF13" s="1011"/>
      <c r="AG13" s="1011"/>
      <c r="AH13" s="1011"/>
      <c r="AI13" s="352"/>
    </row>
    <row r="14" spans="1:35" s="319" customFormat="1">
      <c r="A14" s="744"/>
      <c r="B14" s="743"/>
      <c r="C14" s="321"/>
      <c r="D14" s="321"/>
      <c r="E14" s="321"/>
      <c r="F14" s="321"/>
      <c r="G14" s="321"/>
      <c r="H14" s="321"/>
      <c r="I14" s="321"/>
      <c r="J14" s="321"/>
      <c r="K14" s="321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AC14" s="1010"/>
      <c r="AD14" s="1011"/>
      <c r="AE14" s="1011"/>
      <c r="AF14" s="1011"/>
      <c r="AG14" s="1011"/>
      <c r="AH14" s="1011"/>
      <c r="AI14" s="352"/>
    </row>
    <row r="15" spans="1:35" s="319" customFormat="1">
      <c r="A15" s="744"/>
      <c r="B15" s="743"/>
      <c r="C15" s="322" t="s">
        <v>300</v>
      </c>
      <c r="D15" s="322" t="str">
        <f>+Tax!G4</f>
        <v>Actual</v>
      </c>
      <c r="E15" s="322" t="str">
        <f>+Tax!H4</f>
        <v>Actual</v>
      </c>
      <c r="F15" s="322" t="str">
        <f>+Tax!I4</f>
        <v>Estimated</v>
      </c>
      <c r="G15" s="322" t="str">
        <f>+Tax!J4</f>
        <v>Estimated</v>
      </c>
      <c r="H15" s="322" t="str">
        <f>+Tax!K4</f>
        <v>Estimated</v>
      </c>
      <c r="I15" s="322" t="str">
        <f>+Tax!L4</f>
        <v>Estimated</v>
      </c>
      <c r="J15" s="322" t="str">
        <f>+Tax!M4</f>
        <v>Estimated</v>
      </c>
      <c r="K15" s="321"/>
      <c r="L15" s="352"/>
      <c r="M15" s="1557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AC15" s="1010"/>
      <c r="AD15" s="1012" t="str">
        <f t="shared" ref="AD15:AH21" si="0">F15</f>
        <v>Estimated</v>
      </c>
      <c r="AE15" s="1012" t="str">
        <f t="shared" si="0"/>
        <v>Estimated</v>
      </c>
      <c r="AF15" s="1012" t="str">
        <f t="shared" si="0"/>
        <v>Estimated</v>
      </c>
      <c r="AG15" s="1012" t="str">
        <f t="shared" si="0"/>
        <v>Estimated</v>
      </c>
      <c r="AH15" s="1012" t="str">
        <f t="shared" si="0"/>
        <v>Estimated</v>
      </c>
      <c r="AI15" s="352"/>
    </row>
    <row r="16" spans="1:35" s="319" customFormat="1">
      <c r="A16" s="744"/>
      <c r="B16" s="743"/>
      <c r="C16" s="322" t="s">
        <v>681</v>
      </c>
      <c r="D16" s="322" t="str">
        <f>+Tax!G5</f>
        <v>TAX YEAR2019</v>
      </c>
      <c r="E16" s="322" t="str">
        <f>+Tax!H5</f>
        <v>TAX YEAR2020</v>
      </c>
      <c r="F16" s="322" t="str">
        <f>+Tax!I5</f>
        <v>TAX YEAR2021</v>
      </c>
      <c r="G16" s="322" t="str">
        <f>+Tax!J5</f>
        <v>TAX YEAR2022</v>
      </c>
      <c r="H16" s="322" t="str">
        <f>+Tax!K5</f>
        <v>TAX YEAR2023</v>
      </c>
      <c r="I16" s="322" t="str">
        <f>+Tax!L5</f>
        <v>TAX YEAR2024</v>
      </c>
      <c r="J16" s="322" t="str">
        <f>+Tax!M5</f>
        <v>TAX YEAR 2025</v>
      </c>
      <c r="K16" s="321"/>
      <c r="L16" s="352"/>
      <c r="M16" s="1557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AC16" s="1010"/>
      <c r="AD16" s="1012" t="str">
        <f t="shared" si="0"/>
        <v>TAX YEAR2021</v>
      </c>
      <c r="AE16" s="1012" t="str">
        <f t="shared" si="0"/>
        <v>TAX YEAR2022</v>
      </c>
      <c r="AF16" s="1012" t="str">
        <f t="shared" si="0"/>
        <v>TAX YEAR2023</v>
      </c>
      <c r="AG16" s="1012" t="str">
        <f t="shared" si="0"/>
        <v>TAX YEAR2024</v>
      </c>
      <c r="AH16" s="1012" t="str">
        <f t="shared" si="0"/>
        <v>TAX YEAR 2025</v>
      </c>
      <c r="AI16" s="352"/>
    </row>
    <row r="17" spans="1:35" s="319" customFormat="1">
      <c r="A17" s="744" t="s">
        <v>8</v>
      </c>
      <c r="B17" s="323"/>
      <c r="C17" s="322" t="s">
        <v>682</v>
      </c>
      <c r="D17" s="322" t="str">
        <f>+Tax!G6</f>
        <v>COLLECT 2020</v>
      </c>
      <c r="E17" s="322" t="str">
        <f>+Tax!H6</f>
        <v>COLLECT 2021</v>
      </c>
      <c r="F17" s="322" t="str">
        <f>+Tax!I6</f>
        <v>COLLECT 2022</v>
      </c>
      <c r="G17" s="322" t="str">
        <f>+Tax!J6</f>
        <v>COLLECT 2023</v>
      </c>
      <c r="H17" s="322" t="str">
        <f>+Tax!K6</f>
        <v>COLLECT 2024</v>
      </c>
      <c r="I17" s="322" t="str">
        <f>+Tax!L6</f>
        <v>COLLECT 2025</v>
      </c>
      <c r="J17" s="322" t="str">
        <f>+Tax!M6</f>
        <v>COLLECT 2026</v>
      </c>
      <c r="K17" s="321"/>
      <c r="L17" s="352"/>
      <c r="M17" s="1557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AC17" s="1010" t="str">
        <f>A17</f>
        <v>Classification</v>
      </c>
      <c r="AD17" s="1013" t="str">
        <f t="shared" si="0"/>
        <v>COLLECT 2022</v>
      </c>
      <c r="AE17" s="1013" t="str">
        <f t="shared" si="0"/>
        <v>COLLECT 2023</v>
      </c>
      <c r="AF17" s="1013" t="str">
        <f t="shared" si="0"/>
        <v>COLLECT 2024</v>
      </c>
      <c r="AG17" s="1013" t="str">
        <f t="shared" si="0"/>
        <v>COLLECT 2025</v>
      </c>
      <c r="AH17" s="1013" t="str">
        <f t="shared" si="0"/>
        <v>COLLECT 2026</v>
      </c>
      <c r="AI17" s="352"/>
    </row>
    <row r="18" spans="1:35" s="319" customFormat="1">
      <c r="A18" s="745" t="s">
        <v>9</v>
      </c>
      <c r="B18" s="746"/>
      <c r="C18" s="907">
        <v>238729720</v>
      </c>
      <c r="D18" s="907">
        <f>ROUND(Tax!G7,0)</f>
        <v>239074860</v>
      </c>
      <c r="E18" s="907">
        <f>ROUND(Tax!H7,0)</f>
        <v>281122450</v>
      </c>
      <c r="F18" s="907">
        <f>ROUND(Tax!I7,0)</f>
        <v>281781360</v>
      </c>
      <c r="G18" s="907">
        <f>ROUND(Tax!J7,0)</f>
        <v>282440270</v>
      </c>
      <c r="H18" s="907">
        <f>ROUND(Tax!K7,0)</f>
        <v>285923583</v>
      </c>
      <c r="I18" s="907">
        <f>ROUND(Tax!L7,0)</f>
        <v>286582493</v>
      </c>
      <c r="J18" s="907">
        <f>ROUND(Tax!M7,0)</f>
        <v>287241403</v>
      </c>
      <c r="K18" s="321"/>
      <c r="L18" s="352"/>
      <c r="M18" s="1558"/>
      <c r="N18" s="434"/>
      <c r="O18" s="352"/>
      <c r="P18" s="352"/>
      <c r="Q18" s="352"/>
      <c r="R18" s="352"/>
      <c r="S18" s="352"/>
      <c r="T18" s="352"/>
      <c r="U18" s="352"/>
      <c r="V18" s="352"/>
      <c r="W18" s="352"/>
      <c r="AC18" s="1010" t="str">
        <f>A18</f>
        <v>Res./Ag.</v>
      </c>
      <c r="AD18" s="1012">
        <f t="shared" si="0"/>
        <v>281781360</v>
      </c>
      <c r="AE18" s="1012">
        <f t="shared" si="0"/>
        <v>282440270</v>
      </c>
      <c r="AF18" s="1012">
        <f t="shared" si="0"/>
        <v>285923583</v>
      </c>
      <c r="AG18" s="1012">
        <f t="shared" si="0"/>
        <v>286582493</v>
      </c>
      <c r="AH18" s="1012">
        <f t="shared" si="0"/>
        <v>287241403</v>
      </c>
      <c r="AI18" s="352"/>
    </row>
    <row r="19" spans="1:35" s="319" customFormat="1">
      <c r="A19" s="745" t="s">
        <v>261</v>
      </c>
      <c r="B19" s="747"/>
      <c r="C19" s="888">
        <v>67320950</v>
      </c>
      <c r="D19" s="888">
        <f>ROUND(Tax!G8,0)</f>
        <v>68282850</v>
      </c>
      <c r="E19" s="888">
        <f>ROUND(Tax!H8,0)</f>
        <v>71494050</v>
      </c>
      <c r="F19" s="888">
        <f>ROUND(Tax!I8,0)</f>
        <v>73094030</v>
      </c>
      <c r="G19" s="888">
        <f>ROUND(Tax!J8,0)</f>
        <v>74694010</v>
      </c>
      <c r="H19" s="888">
        <f>ROUND(Tax!K8,0)</f>
        <v>76667460</v>
      </c>
      <c r="I19" s="888">
        <f>ROUND(Tax!L8,0)</f>
        <v>78267440</v>
      </c>
      <c r="J19" s="888">
        <f>ROUND(Tax!M8,0)</f>
        <v>79867420</v>
      </c>
      <c r="K19" s="321"/>
      <c r="L19" s="352"/>
      <c r="M19" s="1559"/>
      <c r="N19" s="434"/>
      <c r="O19" s="352"/>
      <c r="P19" s="352"/>
      <c r="Q19" s="352"/>
      <c r="R19" s="352"/>
      <c r="S19" s="352"/>
      <c r="T19" s="352"/>
      <c r="U19" s="352"/>
      <c r="V19" s="352"/>
      <c r="W19" s="352"/>
      <c r="AC19" s="1010" t="str">
        <f>A19</f>
        <v>Comm./Ind.</v>
      </c>
      <c r="AD19" s="1014">
        <f t="shared" si="0"/>
        <v>73094030</v>
      </c>
      <c r="AE19" s="1014">
        <f t="shared" si="0"/>
        <v>74694010</v>
      </c>
      <c r="AF19" s="1014">
        <f t="shared" si="0"/>
        <v>76667460</v>
      </c>
      <c r="AG19" s="1014">
        <f t="shared" si="0"/>
        <v>78267440</v>
      </c>
      <c r="AH19" s="1014">
        <f t="shared" si="0"/>
        <v>79867420</v>
      </c>
      <c r="AI19" s="352"/>
    </row>
    <row r="20" spans="1:35" s="319" customFormat="1">
      <c r="A20" s="745" t="s">
        <v>81</v>
      </c>
      <c r="B20" s="747"/>
      <c r="C20" s="889">
        <v>21748740</v>
      </c>
      <c r="D20" s="889">
        <f>ROUND(Tax!G9,0)</f>
        <v>26641920</v>
      </c>
      <c r="E20" s="889">
        <f>ROUND(Tax!H9,0)</f>
        <v>28007650</v>
      </c>
      <c r="F20" s="889">
        <f>ROUND(Tax!I9,0)</f>
        <v>29373380</v>
      </c>
      <c r="G20" s="889">
        <f>ROUND(Tax!J9,0)</f>
        <v>30739110</v>
      </c>
      <c r="H20" s="889">
        <f>ROUND(Tax!K9,0)</f>
        <v>32104840</v>
      </c>
      <c r="I20" s="889">
        <f>ROUND(Tax!L9,0)</f>
        <v>33470570</v>
      </c>
      <c r="J20" s="889">
        <f>ROUND(Tax!M9,0)</f>
        <v>34836300</v>
      </c>
      <c r="K20" s="321"/>
      <c r="L20" s="352"/>
      <c r="M20" s="1559"/>
      <c r="N20" s="434"/>
      <c r="O20" s="352"/>
      <c r="P20" s="352"/>
      <c r="Q20" s="352"/>
      <c r="R20" s="352"/>
      <c r="S20" s="352"/>
      <c r="T20" s="352"/>
      <c r="U20" s="352"/>
      <c r="V20" s="352"/>
      <c r="W20" s="352"/>
      <c r="AC20" s="1010" t="str">
        <f>A20</f>
        <v>Public Utility Personal Property (PUPP)</v>
      </c>
      <c r="AD20" s="1015">
        <f t="shared" si="0"/>
        <v>29373380</v>
      </c>
      <c r="AE20" s="1015">
        <f t="shared" si="0"/>
        <v>30739110</v>
      </c>
      <c r="AF20" s="1015">
        <f t="shared" si="0"/>
        <v>32104840</v>
      </c>
      <c r="AG20" s="1015">
        <f t="shared" si="0"/>
        <v>33470570</v>
      </c>
      <c r="AH20" s="1015">
        <f t="shared" si="0"/>
        <v>34836300</v>
      </c>
      <c r="AI20" s="352"/>
    </row>
    <row r="21" spans="1:35" s="319" customFormat="1" ht="15.6">
      <c r="A21" s="744" t="s">
        <v>422</v>
      </c>
      <c r="B21" s="748"/>
      <c r="C21" s="907">
        <v>327799410</v>
      </c>
      <c r="D21" s="907">
        <f>Tax!G10</f>
        <v>333999630</v>
      </c>
      <c r="E21" s="907">
        <f>Tax!H10</f>
        <v>380624150</v>
      </c>
      <c r="F21" s="907">
        <f>Tax!I10</f>
        <v>384248770</v>
      </c>
      <c r="G21" s="907">
        <f>Tax!J10</f>
        <v>387873390</v>
      </c>
      <c r="H21" s="907">
        <f>Tax!K10</f>
        <v>394695882.75</v>
      </c>
      <c r="I21" s="907">
        <f>Tax!L10</f>
        <v>398320502.75</v>
      </c>
      <c r="J21" s="907">
        <f>Tax!M10</f>
        <v>401945122.75</v>
      </c>
      <c r="K21" s="321"/>
      <c r="L21" s="352"/>
      <c r="M21" s="1558"/>
      <c r="N21" s="434"/>
      <c r="O21" s="352"/>
      <c r="P21" s="352"/>
      <c r="Q21" s="352"/>
      <c r="R21" s="352"/>
      <c r="S21" s="352"/>
      <c r="T21" s="352"/>
      <c r="U21" s="352"/>
      <c r="V21" s="352"/>
      <c r="W21" s="352"/>
      <c r="AC21" s="1010" t="str">
        <f>A21</f>
        <v>Total Assessed Value</v>
      </c>
      <c r="AD21" s="1016">
        <f t="shared" si="0"/>
        <v>384248770</v>
      </c>
      <c r="AE21" s="1016">
        <f t="shared" si="0"/>
        <v>387873390</v>
      </c>
      <c r="AF21" s="1016">
        <f t="shared" si="0"/>
        <v>394695882.75</v>
      </c>
      <c r="AG21" s="1016">
        <f t="shared" si="0"/>
        <v>398320502.75</v>
      </c>
      <c r="AH21" s="1016">
        <f t="shared" si="0"/>
        <v>401945122.75</v>
      </c>
      <c r="AI21" s="352"/>
    </row>
    <row r="22" spans="1:35" s="319" customFormat="1" ht="15.6">
      <c r="A22" s="1437" t="s">
        <v>1043</v>
      </c>
      <c r="B22" s="1441"/>
      <c r="C22" s="1442">
        <v>-1814560</v>
      </c>
      <c r="D22" s="1442">
        <f t="shared" ref="D22:J22" si="1">D21-C21</f>
        <v>6200220</v>
      </c>
      <c r="E22" s="1442">
        <f t="shared" si="1"/>
        <v>46624520</v>
      </c>
      <c r="F22" s="1442">
        <f t="shared" si="1"/>
        <v>3624620</v>
      </c>
      <c r="G22" s="1442">
        <f t="shared" si="1"/>
        <v>3624620</v>
      </c>
      <c r="H22" s="1442">
        <f t="shared" si="1"/>
        <v>6822492.75</v>
      </c>
      <c r="I22" s="1442">
        <f t="shared" si="1"/>
        <v>3624620</v>
      </c>
      <c r="J22" s="1442">
        <f t="shared" si="1"/>
        <v>3624620</v>
      </c>
      <c r="K22" s="321"/>
      <c r="L22" s="352"/>
      <c r="M22" s="352"/>
      <c r="N22" s="1004"/>
      <c r="O22" s="352"/>
      <c r="P22" s="352"/>
      <c r="Q22" s="352"/>
      <c r="R22" s="352"/>
      <c r="S22" s="352"/>
      <c r="T22" s="352"/>
      <c r="U22" s="352"/>
      <c r="V22" s="352"/>
      <c r="W22" s="352"/>
      <c r="AC22" s="1010"/>
      <c r="AD22" s="1016"/>
      <c r="AE22" s="1016"/>
      <c r="AF22" s="1016"/>
      <c r="AG22" s="1016"/>
      <c r="AH22" s="1016"/>
      <c r="AI22" s="352"/>
    </row>
    <row r="23" spans="1:35" s="319" customFormat="1">
      <c r="A23" s="1437" t="s">
        <v>1036</v>
      </c>
      <c r="B23" s="1443"/>
      <c r="C23" s="1405">
        <v>-5.5051064734907926E-3</v>
      </c>
      <c r="D23" s="1405">
        <f t="shared" ref="D23:J23" si="2">(D21-C21)/C21</f>
        <v>1.8914677119156498E-2</v>
      </c>
      <c r="E23" s="1405">
        <f t="shared" si="2"/>
        <v>0.13959452589812749</v>
      </c>
      <c r="F23" s="1405">
        <f t="shared" si="2"/>
        <v>9.522832431941063E-3</v>
      </c>
      <c r="G23" s="1405">
        <f t="shared" si="2"/>
        <v>9.433003520089342E-3</v>
      </c>
      <c r="H23" s="1405">
        <f t="shared" si="2"/>
        <v>1.7589483903497478E-2</v>
      </c>
      <c r="I23" s="1405">
        <f t="shared" si="2"/>
        <v>9.1833235622977884E-3</v>
      </c>
      <c r="J23" s="1405">
        <f t="shared" si="2"/>
        <v>9.0997575444288371E-3</v>
      </c>
      <c r="K23" s="321"/>
      <c r="L23" s="352"/>
      <c r="M23" s="352"/>
      <c r="N23" s="352"/>
      <c r="O23" s="352"/>
      <c r="P23" s="352"/>
      <c r="Q23" s="352"/>
      <c r="R23" s="352"/>
      <c r="S23" s="352"/>
      <c r="T23" s="352"/>
      <c r="U23" s="352"/>
      <c r="V23" s="352"/>
      <c r="W23" s="352"/>
      <c r="AC23" s="1010"/>
      <c r="AD23" s="1012"/>
      <c r="AE23" s="1012"/>
      <c r="AF23" s="1012"/>
      <c r="AG23" s="1012"/>
      <c r="AH23" s="1012"/>
      <c r="AI23" s="352"/>
    </row>
    <row r="24" spans="1:35" s="319" customFormat="1">
      <c r="A24" s="745"/>
      <c r="B24" s="743"/>
      <c r="C24" s="321"/>
      <c r="D24" s="321"/>
      <c r="E24" s="321"/>
      <c r="F24" s="321"/>
      <c r="G24" s="321"/>
      <c r="H24" s="321"/>
      <c r="I24" s="321"/>
      <c r="J24" s="321"/>
      <c r="K24" s="321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AC24" s="1010"/>
      <c r="AD24" s="1012"/>
      <c r="AE24" s="1012"/>
      <c r="AF24" s="1012"/>
      <c r="AG24" s="1012"/>
      <c r="AH24" s="1012"/>
      <c r="AI24" s="352"/>
    </row>
    <row r="25" spans="1:35" s="319" customFormat="1">
      <c r="A25" s="744" t="s">
        <v>255</v>
      </c>
      <c r="B25" s="743"/>
      <c r="C25" s="321"/>
      <c r="D25" s="321"/>
      <c r="E25" s="321"/>
      <c r="F25" s="321"/>
      <c r="G25" s="321"/>
      <c r="H25" s="321"/>
      <c r="I25" s="321"/>
      <c r="J25" s="321"/>
      <c r="K25" s="321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AC25" s="1370"/>
      <c r="AD25" s="1371"/>
      <c r="AE25" s="1371"/>
      <c r="AF25" s="1371"/>
      <c r="AG25" s="1371"/>
      <c r="AH25" s="1371"/>
      <c r="AI25" s="352"/>
    </row>
    <row r="26" spans="1:35" s="319" customFormat="1">
      <c r="A26" s="744" t="s">
        <v>265</v>
      </c>
      <c r="B26" s="323"/>
      <c r="C26" s="915" t="s">
        <v>431</v>
      </c>
      <c r="D26" s="915" t="str">
        <f t="shared" ref="D26:I26" si="3">"FY"&amp;RIGHT(D17,2)</f>
        <v>FY20</v>
      </c>
      <c r="E26" s="915" t="str">
        <f t="shared" si="3"/>
        <v>FY21</v>
      </c>
      <c r="F26" s="915" t="str">
        <f t="shared" si="3"/>
        <v>FY22</v>
      </c>
      <c r="G26" s="915" t="str">
        <f t="shared" si="3"/>
        <v>FY23</v>
      </c>
      <c r="H26" s="915" t="str">
        <f t="shared" si="3"/>
        <v>FY24</v>
      </c>
      <c r="I26" s="915" t="str">
        <f t="shared" si="3"/>
        <v>FY25</v>
      </c>
      <c r="J26" s="915" t="str">
        <f t="shared" ref="J26" si="4">"FY"&amp;RIGHT(J17,2)</f>
        <v>FY26</v>
      </c>
      <c r="K26" s="321"/>
      <c r="L26" s="352"/>
      <c r="M26" s="1515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AC26" s="1029" t="str">
        <f>A26</f>
        <v>Source</v>
      </c>
      <c r="AD26" s="1017" t="str">
        <f t="shared" ref="AD26:AH27" si="5">F26</f>
        <v>FY22</v>
      </c>
      <c r="AE26" s="1017" t="str">
        <f t="shared" si="5"/>
        <v>FY23</v>
      </c>
      <c r="AF26" s="1017" t="str">
        <f t="shared" si="5"/>
        <v>FY24</v>
      </c>
      <c r="AG26" s="1017" t="str">
        <f t="shared" si="5"/>
        <v>FY25</v>
      </c>
      <c r="AH26" s="1017" t="str">
        <f t="shared" si="5"/>
        <v>FY26</v>
      </c>
      <c r="AI26" s="352"/>
    </row>
    <row r="27" spans="1:35" s="319" customFormat="1">
      <c r="A27" s="745" t="s">
        <v>828</v>
      </c>
      <c r="B27" s="746"/>
      <c r="C27" s="324">
        <v>9157706</v>
      </c>
      <c r="D27" s="324">
        <f>ROUND(Tax!G24,0)</f>
        <v>9425875</v>
      </c>
      <c r="E27" s="324">
        <f>ROUND(Tax!H24,0)</f>
        <v>9865381</v>
      </c>
      <c r="F27" s="324">
        <f>ROUND(Tax!I24,0)</f>
        <v>9823617</v>
      </c>
      <c r="G27" s="324">
        <f>ROUND(Tax!J24,0)</f>
        <v>9656411</v>
      </c>
      <c r="H27" s="324">
        <f>ROUND(Tax!K24,0)</f>
        <v>9183823</v>
      </c>
      <c r="I27" s="324">
        <f>ROUND(Tax!L24,0)</f>
        <v>9288247</v>
      </c>
      <c r="J27" s="324">
        <f>ROUND(Tax!M24,0)</f>
        <v>9387419</v>
      </c>
      <c r="K27" s="321"/>
      <c r="L27" s="352"/>
      <c r="M27" s="434"/>
      <c r="N27" s="434"/>
      <c r="O27" s="352"/>
      <c r="P27" s="352"/>
      <c r="Q27" s="352"/>
      <c r="R27" s="352"/>
      <c r="S27" s="352"/>
      <c r="T27" s="352"/>
      <c r="U27" s="352"/>
      <c r="V27" s="352"/>
      <c r="W27" s="352"/>
      <c r="AC27" s="1372" t="str">
        <f>A27</f>
        <v xml:space="preserve">General Property Taxes </v>
      </c>
      <c r="AD27" s="1373">
        <f t="shared" si="5"/>
        <v>9823617</v>
      </c>
      <c r="AE27" s="1373">
        <f t="shared" si="5"/>
        <v>9656411</v>
      </c>
      <c r="AF27" s="1373">
        <f t="shared" si="5"/>
        <v>9183823</v>
      </c>
      <c r="AG27" s="1373">
        <f t="shared" si="5"/>
        <v>9288247</v>
      </c>
      <c r="AH27" s="1373">
        <f t="shared" si="5"/>
        <v>9387419</v>
      </c>
      <c r="AI27" s="352"/>
    </row>
    <row r="28" spans="1:35" s="319" customFormat="1" ht="15.6">
      <c r="A28" s="1437" t="s">
        <v>1042</v>
      </c>
      <c r="B28" s="1438"/>
      <c r="C28" s="1439">
        <v>-72699</v>
      </c>
      <c r="D28" s="1439">
        <f t="shared" ref="D28:J28" si="6">D27-C27</f>
        <v>268169</v>
      </c>
      <c r="E28" s="1439">
        <f t="shared" si="6"/>
        <v>439506</v>
      </c>
      <c r="F28" s="1439">
        <f t="shared" si="6"/>
        <v>-41764</v>
      </c>
      <c r="G28" s="1439">
        <f t="shared" si="6"/>
        <v>-167206</v>
      </c>
      <c r="H28" s="1439">
        <f t="shared" si="6"/>
        <v>-472588</v>
      </c>
      <c r="I28" s="1439">
        <f t="shared" si="6"/>
        <v>104424</v>
      </c>
      <c r="J28" s="1439">
        <f t="shared" si="6"/>
        <v>99172</v>
      </c>
      <c r="K28" s="321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AC28" s="1010"/>
      <c r="AD28" s="1012"/>
      <c r="AE28" s="1012"/>
      <c r="AF28" s="1012"/>
      <c r="AG28" s="1012"/>
      <c r="AH28" s="1012"/>
      <c r="AI28" s="352"/>
    </row>
    <row r="29" spans="1:35" s="319" customFormat="1" ht="15.6">
      <c r="A29" s="1437" t="s">
        <v>1036</v>
      </c>
      <c r="B29" s="1440"/>
      <c r="C29" s="1405">
        <v>-7.8760357752449654E-3</v>
      </c>
      <c r="D29" s="1405">
        <f t="shared" ref="D29:J29" si="7">(D27-C27)/C27</f>
        <v>2.9283425346915484E-2</v>
      </c>
      <c r="E29" s="1405">
        <f t="shared" si="7"/>
        <v>4.6627607516543559E-2</v>
      </c>
      <c r="F29" s="1405">
        <f t="shared" si="7"/>
        <v>-4.2333894656476018E-3</v>
      </c>
      <c r="G29" s="1405">
        <f t="shared" si="7"/>
        <v>-1.7020818299410493E-2</v>
      </c>
      <c r="H29" s="1405">
        <f t="shared" si="7"/>
        <v>-4.8940336114525362E-2</v>
      </c>
      <c r="I29" s="1405">
        <f t="shared" si="7"/>
        <v>1.137042819749466E-2</v>
      </c>
      <c r="J29" s="1405">
        <f t="shared" si="7"/>
        <v>1.0677149304922662E-2</v>
      </c>
      <c r="K29" s="321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AC29" s="1010"/>
      <c r="AD29" s="1012"/>
      <c r="AE29" s="1012"/>
      <c r="AF29" s="1012"/>
      <c r="AG29" s="1012"/>
      <c r="AH29" s="1012"/>
      <c r="AI29" s="352"/>
    </row>
    <row r="30" spans="1:35" s="319" customFormat="1" ht="16.2" thickBot="1">
      <c r="A30" s="853"/>
      <c r="B30" s="749"/>
      <c r="C30" s="328"/>
      <c r="D30" s="328"/>
      <c r="E30" s="328"/>
      <c r="F30" s="328"/>
      <c r="G30" s="328"/>
      <c r="H30" s="328"/>
      <c r="I30" s="328"/>
      <c r="J30" s="328"/>
      <c r="K30" s="328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AC30" s="1010"/>
      <c r="AD30" s="1012"/>
      <c r="AE30" s="1012"/>
      <c r="AF30" s="1012"/>
      <c r="AG30" s="1012"/>
      <c r="AH30" s="1012"/>
      <c r="AI30" s="352"/>
    </row>
    <row r="31" spans="1:35" s="319" customFormat="1" ht="16.2" thickBot="1">
      <c r="A31" s="750"/>
      <c r="B31" s="751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2"/>
      <c r="AC31" s="1010"/>
      <c r="AD31" s="1012"/>
      <c r="AE31" s="1012"/>
      <c r="AF31" s="1012"/>
      <c r="AG31" s="1012"/>
      <c r="AH31" s="1012"/>
      <c r="AI31" s="352"/>
    </row>
    <row r="32" spans="1:35" s="319" customFormat="1" ht="15.6">
      <c r="A32" s="752"/>
      <c r="B32" s="753"/>
      <c r="C32" s="330"/>
      <c r="D32" s="330"/>
      <c r="E32" s="330"/>
      <c r="F32" s="330"/>
      <c r="G32" s="330"/>
      <c r="H32" s="330"/>
      <c r="I32" s="330"/>
      <c r="J32" s="330"/>
      <c r="K32" s="1522"/>
      <c r="L32" s="1513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AC32" s="1010"/>
      <c r="AD32" s="1012"/>
      <c r="AE32" s="1012"/>
      <c r="AF32" s="1012"/>
      <c r="AG32" s="1012"/>
      <c r="AH32" s="1012"/>
      <c r="AI32" s="352"/>
    </row>
    <row r="33" spans="1:35" s="319" customFormat="1">
      <c r="A33" s="854" t="s">
        <v>394</v>
      </c>
      <c r="B33" s="739"/>
      <c r="C33" s="331"/>
      <c r="D33" s="331"/>
      <c r="E33" s="482"/>
      <c r="F33" s="586"/>
      <c r="G33" s="653"/>
      <c r="H33" s="671"/>
      <c r="I33" s="715"/>
      <c r="J33" s="739"/>
      <c r="K33" s="334"/>
      <c r="L33" s="1494"/>
      <c r="M33" s="352"/>
      <c r="N33" s="352"/>
      <c r="O33" s="352"/>
      <c r="P33" s="352"/>
      <c r="Q33" s="352"/>
      <c r="R33" s="352"/>
      <c r="S33" s="352"/>
      <c r="T33" s="352"/>
      <c r="U33" s="352"/>
      <c r="V33" s="352"/>
      <c r="W33" s="352"/>
      <c r="AC33" s="1010"/>
      <c r="AD33" s="1012"/>
      <c r="AE33" s="1012"/>
      <c r="AF33" s="1012"/>
      <c r="AG33" s="1012"/>
      <c r="AH33" s="1012"/>
      <c r="AI33" s="352"/>
    </row>
    <row r="34" spans="1:35" s="319" customFormat="1" ht="15.6">
      <c r="A34" s="855" t="s">
        <v>395</v>
      </c>
      <c r="B34" s="332"/>
      <c r="C34" s="334"/>
      <c r="D34" s="334"/>
      <c r="E34" s="334"/>
      <c r="F34" s="334"/>
      <c r="G34" s="334"/>
      <c r="H34" s="334"/>
      <c r="I34" s="334"/>
      <c r="J34" s="334"/>
      <c r="K34" s="334"/>
      <c r="L34" s="1498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AC34" s="1010"/>
      <c r="AD34" s="1012"/>
      <c r="AE34" s="1012"/>
      <c r="AF34" s="1012"/>
      <c r="AG34" s="1012"/>
      <c r="AH34" s="1012"/>
      <c r="AI34" s="352"/>
    </row>
    <row r="35" spans="1:35" s="319" customFormat="1" ht="15.6">
      <c r="A35" s="855" t="s">
        <v>250</v>
      </c>
      <c r="B35" s="332"/>
      <c r="C35" s="333"/>
      <c r="D35" s="333"/>
      <c r="E35" s="333"/>
      <c r="F35" s="333"/>
      <c r="G35" s="333"/>
      <c r="H35" s="333"/>
      <c r="I35" s="333"/>
      <c r="J35" s="333"/>
      <c r="K35" s="334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AC35" s="1010"/>
      <c r="AD35" s="1012"/>
      <c r="AE35" s="1012"/>
      <c r="AF35" s="1012"/>
      <c r="AG35" s="1012"/>
      <c r="AH35" s="1012"/>
      <c r="AI35" s="352"/>
    </row>
    <row r="36" spans="1:35" s="319" customFormat="1">
      <c r="A36" s="755" t="s">
        <v>265</v>
      </c>
      <c r="B36" s="335"/>
      <c r="C36" s="922" t="s">
        <v>431</v>
      </c>
      <c r="D36" s="922" t="str">
        <f t="shared" ref="D36:I36" si="8">+D26</f>
        <v>FY20</v>
      </c>
      <c r="E36" s="922" t="str">
        <f t="shared" si="8"/>
        <v>FY21</v>
      </c>
      <c r="F36" s="922" t="str">
        <f t="shared" si="8"/>
        <v>FY22</v>
      </c>
      <c r="G36" s="922" t="str">
        <f t="shared" si="8"/>
        <v>FY23</v>
      </c>
      <c r="H36" s="922" t="str">
        <f t="shared" si="8"/>
        <v>FY24</v>
      </c>
      <c r="I36" s="922" t="str">
        <f t="shared" si="8"/>
        <v>FY25</v>
      </c>
      <c r="J36" s="922" t="str">
        <f t="shared" ref="J36" si="9">+J26</f>
        <v>FY26</v>
      </c>
      <c r="K36" s="334"/>
      <c r="L36" s="352"/>
      <c r="M36" s="1515"/>
      <c r="N36" s="352"/>
      <c r="O36" s="352"/>
      <c r="P36" s="352"/>
      <c r="Q36" s="352"/>
      <c r="R36" s="352"/>
      <c r="S36" s="352"/>
      <c r="T36" s="352"/>
      <c r="U36" s="352"/>
      <c r="V36" s="352"/>
      <c r="W36" s="352"/>
      <c r="AC36" s="1029" t="str">
        <f>A36</f>
        <v>Source</v>
      </c>
      <c r="AD36" s="1018" t="str">
        <f t="shared" ref="AD36:AH37" si="10">F36</f>
        <v>FY22</v>
      </c>
      <c r="AE36" s="1018" t="str">
        <f t="shared" si="10"/>
        <v>FY23</v>
      </c>
      <c r="AF36" s="1018" t="str">
        <f t="shared" si="10"/>
        <v>FY24</v>
      </c>
      <c r="AG36" s="1018" t="str">
        <f t="shared" si="10"/>
        <v>FY25</v>
      </c>
      <c r="AH36" s="1018" t="str">
        <f t="shared" si="10"/>
        <v>FY26</v>
      </c>
      <c r="AI36" s="352"/>
    </row>
    <row r="37" spans="1:35" s="319" customFormat="1">
      <c r="A37" s="757" t="s">
        <v>396</v>
      </c>
      <c r="B37" s="336"/>
      <c r="C37" s="341">
        <v>0</v>
      </c>
      <c r="D37" s="341">
        <f>+Tax!G212+Tax!G213+Tax!G214</f>
        <v>0</v>
      </c>
      <c r="E37" s="341">
        <f>Tax!H211</f>
        <v>0</v>
      </c>
      <c r="F37" s="341">
        <f>Tax!I211</f>
        <v>0</v>
      </c>
      <c r="G37" s="341">
        <f>Tax!J211</f>
        <v>0</v>
      </c>
      <c r="H37" s="341">
        <f>Tax!K211</f>
        <v>0</v>
      </c>
      <c r="I37" s="341">
        <f>Tax!L211</f>
        <v>0</v>
      </c>
      <c r="J37" s="341">
        <f>Tax!M211</f>
        <v>0</v>
      </c>
      <c r="K37" s="334"/>
      <c r="L37" s="352"/>
      <c r="M37" s="1558"/>
      <c r="N37" s="434"/>
      <c r="O37" s="352"/>
      <c r="P37" s="352"/>
      <c r="Q37" s="352"/>
      <c r="R37" s="352"/>
      <c r="S37" s="352"/>
      <c r="T37" s="352"/>
      <c r="U37" s="352"/>
      <c r="V37" s="352"/>
      <c r="W37" s="352"/>
      <c r="AC37" s="1010" t="str">
        <f>A37</f>
        <v>Renew SDIT   Total To Line # 11.010</v>
      </c>
      <c r="AD37" s="1016">
        <f t="shared" si="10"/>
        <v>0</v>
      </c>
      <c r="AE37" s="1016">
        <f t="shared" si="10"/>
        <v>0</v>
      </c>
      <c r="AF37" s="1016">
        <f t="shared" si="10"/>
        <v>0</v>
      </c>
      <c r="AG37" s="1016">
        <f t="shared" si="10"/>
        <v>0</v>
      </c>
      <c r="AH37" s="1016">
        <f t="shared" si="10"/>
        <v>0</v>
      </c>
      <c r="AI37" s="352"/>
    </row>
    <row r="38" spans="1:35" s="319" customFormat="1">
      <c r="A38" s="854"/>
      <c r="B38" s="739"/>
      <c r="C38" s="679"/>
      <c r="D38" s="735"/>
      <c r="E38" s="739"/>
      <c r="F38" s="739"/>
      <c r="G38" s="739"/>
      <c r="H38" s="739"/>
      <c r="I38" s="739"/>
      <c r="J38" s="739"/>
      <c r="K38" s="334"/>
      <c r="L38" s="352"/>
      <c r="M38" s="1548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AC38" s="1010"/>
      <c r="AD38" s="1012"/>
      <c r="AE38" s="1012"/>
      <c r="AF38" s="1012"/>
      <c r="AG38" s="1012"/>
      <c r="AH38" s="1012"/>
      <c r="AI38" s="352"/>
    </row>
    <row r="39" spans="1:35" s="319" customFormat="1" ht="15.6">
      <c r="A39" s="855" t="s">
        <v>256</v>
      </c>
      <c r="B39" s="332"/>
      <c r="C39" s="334"/>
      <c r="D39" s="334"/>
      <c r="E39" s="334"/>
      <c r="F39" s="334"/>
      <c r="G39" s="334"/>
      <c r="H39" s="334"/>
      <c r="I39" s="334"/>
      <c r="J39" s="334"/>
      <c r="K39" s="334"/>
      <c r="L39" s="352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AC39" s="1010"/>
      <c r="AD39" s="1012"/>
      <c r="AE39" s="1012"/>
      <c r="AF39" s="1012"/>
      <c r="AG39" s="1012"/>
      <c r="AH39" s="1012"/>
      <c r="AI39" s="352"/>
    </row>
    <row r="40" spans="1:35" s="319" customFormat="1" ht="15.6">
      <c r="A40" s="855" t="s">
        <v>250</v>
      </c>
      <c r="B40" s="332"/>
      <c r="C40" s="338"/>
      <c r="D40" s="338"/>
      <c r="E40" s="338"/>
      <c r="F40" s="338"/>
      <c r="G40" s="338"/>
      <c r="H40" s="338"/>
      <c r="I40" s="338"/>
      <c r="J40" s="338"/>
      <c r="K40" s="334"/>
      <c r="L40" s="352"/>
      <c r="M40" s="1560"/>
      <c r="N40" s="352"/>
      <c r="O40" s="352"/>
      <c r="P40" s="352"/>
      <c r="Q40" s="352"/>
      <c r="R40" s="352"/>
      <c r="S40" s="352"/>
      <c r="T40" s="352"/>
      <c r="U40" s="352"/>
      <c r="V40" s="352"/>
      <c r="W40" s="352"/>
      <c r="AC40" s="1010"/>
      <c r="AD40" s="1012"/>
      <c r="AE40" s="1012"/>
      <c r="AF40" s="1012"/>
      <c r="AG40" s="1012"/>
      <c r="AH40" s="1012"/>
      <c r="AI40" s="352"/>
    </row>
    <row r="41" spans="1:35" s="319" customFormat="1">
      <c r="A41" s="755" t="s">
        <v>265</v>
      </c>
      <c r="B41" s="335"/>
      <c r="C41" s="922" t="s">
        <v>431</v>
      </c>
      <c r="D41" s="922" t="str">
        <f t="shared" ref="D41:H41" si="11">+D36</f>
        <v>FY20</v>
      </c>
      <c r="E41" s="922" t="str">
        <f t="shared" si="11"/>
        <v>FY21</v>
      </c>
      <c r="F41" s="922" t="str">
        <f t="shared" si="11"/>
        <v>FY22</v>
      </c>
      <c r="G41" s="922" t="str">
        <f t="shared" si="11"/>
        <v>FY23</v>
      </c>
      <c r="H41" s="922" t="str">
        <f t="shared" si="11"/>
        <v>FY24</v>
      </c>
      <c r="I41" s="922" t="str">
        <f t="shared" ref="I41:J41" si="12">+I36</f>
        <v>FY25</v>
      </c>
      <c r="J41" s="922" t="str">
        <f t="shared" si="12"/>
        <v>FY26</v>
      </c>
      <c r="K41" s="334"/>
      <c r="L41" s="352"/>
      <c r="M41" s="1515"/>
      <c r="N41" s="352"/>
      <c r="O41" s="352"/>
      <c r="P41" s="352"/>
      <c r="Q41" s="352"/>
      <c r="R41" s="352"/>
      <c r="S41" s="352"/>
      <c r="T41" s="352"/>
      <c r="U41" s="352"/>
      <c r="V41" s="352"/>
      <c r="W41" s="352"/>
      <c r="AC41" s="1029" t="str">
        <f>A41</f>
        <v>Source</v>
      </c>
      <c r="AD41" s="1018" t="str">
        <f t="shared" ref="AD41:AH44" si="13">F41</f>
        <v>FY22</v>
      </c>
      <c r="AE41" s="1018" t="str">
        <f t="shared" si="13"/>
        <v>FY23</v>
      </c>
      <c r="AF41" s="1018" t="str">
        <f t="shared" si="13"/>
        <v>FY24</v>
      </c>
      <c r="AG41" s="1018" t="str">
        <f t="shared" si="13"/>
        <v>FY25</v>
      </c>
      <c r="AH41" s="1018" t="str">
        <f t="shared" si="13"/>
        <v>FY26</v>
      </c>
      <c r="AI41" s="352"/>
    </row>
    <row r="42" spans="1:35" s="319" customFormat="1">
      <c r="A42" s="757" t="str">
        <f>+'Levy Analysis'!A5</f>
        <v>Renew 6.9 mill levy at 3.7 mills 2022</v>
      </c>
      <c r="B42" s="336"/>
      <c r="C42" s="341">
        <v>0</v>
      </c>
      <c r="D42" s="341">
        <f>ROUND(Tax!G170,0)</f>
        <v>0</v>
      </c>
      <c r="E42" s="905">
        <f>+Tax!H212</f>
        <v>0</v>
      </c>
      <c r="F42" s="905">
        <f>+Tax!I212</f>
        <v>0</v>
      </c>
      <c r="G42" s="905">
        <f>+Tax!J212</f>
        <v>903670.64017419796</v>
      </c>
      <c r="H42" s="905">
        <f>+Tax!K212</f>
        <v>1785476.3371239759</v>
      </c>
      <c r="I42" s="905">
        <f>+Tax!L212</f>
        <v>1785476.3371239759</v>
      </c>
      <c r="J42" s="905">
        <f>+Tax!M212</f>
        <v>1785476.3371239759</v>
      </c>
      <c r="K42" s="334"/>
      <c r="L42" s="352"/>
      <c r="M42" s="1561"/>
      <c r="N42" s="434"/>
      <c r="O42" s="352"/>
      <c r="P42" s="352"/>
      <c r="Q42" s="352"/>
      <c r="R42" s="352"/>
      <c r="S42" s="352"/>
      <c r="T42" s="352"/>
      <c r="U42" s="352"/>
      <c r="V42" s="352"/>
      <c r="W42" s="352"/>
      <c r="AC42" s="1010" t="str">
        <f>A42</f>
        <v>Renew 6.9 mill levy at 3.7 mills 2022</v>
      </c>
      <c r="AD42" s="1012">
        <f t="shared" si="13"/>
        <v>0</v>
      </c>
      <c r="AE42" s="1012">
        <f t="shared" si="13"/>
        <v>903670.64017419796</v>
      </c>
      <c r="AF42" s="1012">
        <f t="shared" si="13"/>
        <v>1785476.3371239759</v>
      </c>
      <c r="AG42" s="1012">
        <f t="shared" si="13"/>
        <v>1785476.3371239759</v>
      </c>
      <c r="AH42" s="1012">
        <f t="shared" si="13"/>
        <v>1785476.3371239759</v>
      </c>
      <c r="AI42" s="352"/>
    </row>
    <row r="43" spans="1:35" s="319" customFormat="1" hidden="1">
      <c r="A43" s="757"/>
      <c r="B43" s="340"/>
      <c r="C43" s="336"/>
      <c r="D43" s="336"/>
      <c r="E43" s="940"/>
      <c r="F43" s="940"/>
      <c r="G43" s="940"/>
      <c r="H43" s="940"/>
      <c r="I43" s="940"/>
      <c r="J43" s="940"/>
      <c r="K43" s="334"/>
      <c r="L43" s="352"/>
      <c r="M43" s="1500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AC43" s="1010">
        <f>A43</f>
        <v>0</v>
      </c>
      <c r="AD43" s="1012">
        <f t="shared" si="13"/>
        <v>0</v>
      </c>
      <c r="AE43" s="1012">
        <f t="shared" si="13"/>
        <v>0</v>
      </c>
      <c r="AF43" s="1012">
        <f t="shared" si="13"/>
        <v>0</v>
      </c>
      <c r="AG43" s="1012">
        <f t="shared" si="13"/>
        <v>0</v>
      </c>
      <c r="AH43" s="1012">
        <f t="shared" si="13"/>
        <v>0</v>
      </c>
      <c r="AI43" s="352"/>
    </row>
    <row r="44" spans="1:35" s="319" customFormat="1" ht="15.6">
      <c r="A44" s="855" t="s">
        <v>56</v>
      </c>
      <c r="B44" s="754"/>
      <c r="C44" s="905">
        <v>0</v>
      </c>
      <c r="D44" s="905">
        <f t="shared" ref="D44" si="14">SUM(D41:D43)</f>
        <v>0</v>
      </c>
      <c r="E44" s="906">
        <f>ROUND(SUM(E41:E43),0)</f>
        <v>0</v>
      </c>
      <c r="F44" s="906">
        <f t="shared" ref="F44:I44" si="15">ROUND(SUM(F41:F43),0)</f>
        <v>0</v>
      </c>
      <c r="G44" s="906">
        <f t="shared" si="15"/>
        <v>903671</v>
      </c>
      <c r="H44" s="906">
        <f t="shared" si="15"/>
        <v>1785476</v>
      </c>
      <c r="I44" s="906">
        <f t="shared" si="15"/>
        <v>1785476</v>
      </c>
      <c r="J44" s="906">
        <f t="shared" ref="J44" si="16">ROUND(SUM(J41:J43),0)</f>
        <v>1785476</v>
      </c>
      <c r="K44" s="334"/>
      <c r="L44" s="352"/>
      <c r="M44" s="1562"/>
      <c r="N44" s="434"/>
      <c r="O44" s="352"/>
      <c r="P44" s="352"/>
      <c r="Q44" s="352"/>
      <c r="R44" s="352"/>
      <c r="S44" s="352"/>
      <c r="T44" s="352"/>
      <c r="U44" s="352"/>
      <c r="V44" s="352"/>
      <c r="W44" s="352"/>
      <c r="AC44" s="1010" t="str">
        <f>A44</f>
        <v>Total Line # 11.020</v>
      </c>
      <c r="AD44" s="1016">
        <f t="shared" si="13"/>
        <v>0</v>
      </c>
      <c r="AE44" s="1016">
        <f t="shared" si="13"/>
        <v>903671</v>
      </c>
      <c r="AF44" s="1016">
        <f t="shared" si="13"/>
        <v>1785476</v>
      </c>
      <c r="AG44" s="1016">
        <f t="shared" si="13"/>
        <v>1785476</v>
      </c>
      <c r="AH44" s="1016">
        <f t="shared" si="13"/>
        <v>1785476</v>
      </c>
      <c r="AI44" s="352"/>
    </row>
    <row r="45" spans="1:35" s="319" customFormat="1" ht="15.6">
      <c r="A45" s="757"/>
      <c r="B45" s="332"/>
      <c r="C45" s="333"/>
      <c r="D45" s="333"/>
      <c r="E45" s="333"/>
      <c r="F45" s="333"/>
      <c r="G45" s="333"/>
      <c r="H45" s="333"/>
      <c r="I45" s="333"/>
      <c r="J45" s="333"/>
      <c r="K45" s="334"/>
      <c r="L45" s="352"/>
      <c r="M45" s="1005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AC45" s="1010"/>
      <c r="AD45" s="1012"/>
      <c r="AE45" s="1012"/>
      <c r="AF45" s="1012"/>
      <c r="AG45" s="1012"/>
      <c r="AH45" s="1012"/>
      <c r="AI45" s="352"/>
    </row>
    <row r="46" spans="1:35" s="319" customFormat="1" ht="16.5" customHeight="1">
      <c r="A46" s="755" t="s">
        <v>374</v>
      </c>
      <c r="B46" s="756"/>
      <c r="C46" s="334"/>
      <c r="D46" s="334"/>
      <c r="E46" s="334"/>
      <c r="F46" s="334"/>
      <c r="G46" s="334"/>
      <c r="H46" s="334"/>
      <c r="I46" s="334"/>
      <c r="J46" s="334"/>
      <c r="K46" s="334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AC46" s="1010"/>
      <c r="AD46" s="1012"/>
      <c r="AE46" s="1012"/>
      <c r="AF46" s="1012"/>
      <c r="AG46" s="1012"/>
      <c r="AH46" s="1012"/>
      <c r="AI46" s="352"/>
    </row>
    <row r="47" spans="1:35" s="319" customFormat="1">
      <c r="A47" s="756"/>
      <c r="B47" s="756"/>
      <c r="C47" s="334"/>
      <c r="D47" s="334"/>
      <c r="E47" s="334"/>
      <c r="F47" s="334"/>
      <c r="G47" s="334"/>
      <c r="H47" s="334"/>
      <c r="I47" s="334"/>
      <c r="J47" s="334"/>
      <c r="K47" s="334"/>
      <c r="L47" s="352"/>
      <c r="M47" s="352"/>
      <c r="N47" s="352"/>
      <c r="O47" s="352"/>
      <c r="P47" s="352"/>
      <c r="Q47" s="352"/>
      <c r="R47" s="352"/>
      <c r="S47" s="352"/>
      <c r="T47" s="352"/>
      <c r="U47" s="352"/>
      <c r="V47" s="352"/>
      <c r="W47" s="352"/>
      <c r="AC47" s="1010"/>
      <c r="AD47" s="1012"/>
      <c r="AE47" s="1012"/>
      <c r="AF47" s="1012"/>
      <c r="AG47" s="1012"/>
      <c r="AH47" s="1012"/>
      <c r="AI47" s="352"/>
    </row>
    <row r="48" spans="1:35" s="319" customFormat="1">
      <c r="A48" s="755"/>
      <c r="B48" s="756"/>
      <c r="C48" s="334"/>
      <c r="D48" s="334"/>
      <c r="E48" s="334"/>
      <c r="F48" s="334"/>
      <c r="G48" s="334"/>
      <c r="H48" s="334"/>
      <c r="I48" s="334"/>
      <c r="J48" s="334"/>
      <c r="K48" s="334"/>
      <c r="L48" s="352"/>
      <c r="M48" s="352"/>
      <c r="N48" s="352"/>
      <c r="O48" s="352"/>
      <c r="P48" s="352"/>
      <c r="Q48" s="352"/>
      <c r="R48" s="352"/>
      <c r="S48" s="352"/>
      <c r="T48" s="352"/>
      <c r="U48" s="352"/>
      <c r="V48" s="352"/>
      <c r="W48" s="352"/>
      <c r="AC48" s="1010"/>
      <c r="AD48" s="1012"/>
      <c r="AE48" s="1012"/>
      <c r="AF48" s="1012"/>
      <c r="AG48" s="1012"/>
      <c r="AH48" s="1012"/>
      <c r="AI48" s="352"/>
    </row>
    <row r="49" spans="1:35" s="319" customFormat="1">
      <c r="A49" s="755" t="s">
        <v>61</v>
      </c>
      <c r="B49" s="335"/>
      <c r="C49" s="922" t="s">
        <v>431</v>
      </c>
      <c r="D49" s="922" t="str">
        <f t="shared" ref="D49:H49" si="17">+D41</f>
        <v>FY20</v>
      </c>
      <c r="E49" s="922" t="str">
        <f t="shared" si="17"/>
        <v>FY21</v>
      </c>
      <c r="F49" s="922" t="str">
        <f t="shared" si="17"/>
        <v>FY22</v>
      </c>
      <c r="G49" s="922" t="str">
        <f t="shared" si="17"/>
        <v>FY23</v>
      </c>
      <c r="H49" s="922" t="str">
        <f t="shared" si="17"/>
        <v>FY24</v>
      </c>
      <c r="I49" s="922" t="str">
        <f t="shared" ref="I49:J49" si="18">+I41</f>
        <v>FY25</v>
      </c>
      <c r="J49" s="922" t="str">
        <f t="shared" si="18"/>
        <v>FY26</v>
      </c>
      <c r="K49" s="334"/>
      <c r="L49" s="352"/>
      <c r="M49" s="1515"/>
      <c r="N49" s="352"/>
      <c r="O49" s="352"/>
      <c r="P49" s="352"/>
      <c r="Q49" s="352"/>
      <c r="R49" s="352"/>
      <c r="S49" s="352"/>
      <c r="T49" s="352"/>
      <c r="U49" s="352"/>
      <c r="V49" s="352"/>
      <c r="W49" s="352"/>
      <c r="AC49" s="1010" t="str">
        <f>A49</f>
        <v>Source and Type of New Revenue</v>
      </c>
      <c r="AD49" s="1018" t="str">
        <f t="shared" ref="AD49:AH52" si="19">F49</f>
        <v>FY22</v>
      </c>
      <c r="AE49" s="1018" t="str">
        <f t="shared" si="19"/>
        <v>FY23</v>
      </c>
      <c r="AF49" s="1018" t="str">
        <f t="shared" si="19"/>
        <v>FY24</v>
      </c>
      <c r="AG49" s="1018" t="str">
        <f t="shared" si="19"/>
        <v>FY25</v>
      </c>
      <c r="AH49" s="1018" t="str">
        <f t="shared" si="19"/>
        <v>FY26</v>
      </c>
      <c r="AI49" s="352"/>
    </row>
    <row r="50" spans="1:35" s="319" customFormat="1">
      <c r="A50" s="757" t="s">
        <v>375</v>
      </c>
      <c r="B50" s="340"/>
      <c r="C50" s="341">
        <v>0</v>
      </c>
      <c r="D50" s="341">
        <f>ROUND(Tax!G175,0)</f>
        <v>0</v>
      </c>
      <c r="E50" s="341">
        <f>ROUND(Tax!H175,0)</f>
        <v>0</v>
      </c>
      <c r="F50" s="341">
        <f>ROUND(Tax!I175,0)</f>
        <v>0</v>
      </c>
      <c r="G50" s="341">
        <f>ROUND(Tax!J175,0)</f>
        <v>0</v>
      </c>
      <c r="H50" s="341">
        <f>ROUND(Tax!K175,0)</f>
        <v>0</v>
      </c>
      <c r="I50" s="341">
        <f>ROUND(Tax!L175,0)</f>
        <v>0</v>
      </c>
      <c r="J50" s="341">
        <f>ROUND(Tax!M175,0)</f>
        <v>0</v>
      </c>
      <c r="K50" s="334"/>
      <c r="L50" s="352"/>
      <c r="M50" s="1558"/>
      <c r="N50" s="434"/>
      <c r="O50" s="352"/>
      <c r="P50" s="352"/>
      <c r="Q50" s="352"/>
      <c r="R50" s="352"/>
      <c r="S50" s="352"/>
      <c r="T50" s="352"/>
      <c r="U50" s="352"/>
      <c r="V50" s="352"/>
      <c r="W50" s="352"/>
      <c r="AC50" s="1010" t="str">
        <f>A50</f>
        <v>New SDIT Line # 13.10</v>
      </c>
      <c r="AD50" s="1012">
        <f t="shared" si="19"/>
        <v>0</v>
      </c>
      <c r="AE50" s="1012">
        <f t="shared" si="19"/>
        <v>0</v>
      </c>
      <c r="AF50" s="1012">
        <f t="shared" si="19"/>
        <v>0</v>
      </c>
      <c r="AG50" s="1012">
        <f t="shared" si="19"/>
        <v>0</v>
      </c>
      <c r="AH50" s="1012">
        <f t="shared" si="19"/>
        <v>0</v>
      </c>
      <c r="AI50" s="352"/>
    </row>
    <row r="51" spans="1:35" s="319" customFormat="1">
      <c r="A51" s="757" t="s">
        <v>376</v>
      </c>
      <c r="B51" s="756"/>
      <c r="C51" s="343">
        <v>0</v>
      </c>
      <c r="D51" s="343">
        <f>ROUND(Tax!G219,0)</f>
        <v>0</v>
      </c>
      <c r="E51" s="343">
        <f>ROUND(Tax!H219,0)</f>
        <v>0</v>
      </c>
      <c r="F51" s="343">
        <f>ROUND(Tax!I219,0)</f>
        <v>0</v>
      </c>
      <c r="G51" s="343">
        <f>ROUND(Tax!J219,0)</f>
        <v>0</v>
      </c>
      <c r="H51" s="343">
        <f>ROUND(Tax!K219,0)</f>
        <v>0</v>
      </c>
      <c r="I51" s="343">
        <f>ROUND(Tax!L219,0)</f>
        <v>0</v>
      </c>
      <c r="J51" s="343">
        <f>ROUND(Tax!M219,0)</f>
        <v>0</v>
      </c>
      <c r="K51" s="739"/>
      <c r="L51" s="352"/>
      <c r="M51" s="1563"/>
      <c r="N51" s="434"/>
      <c r="O51" s="352"/>
      <c r="P51" s="352"/>
      <c r="Q51" s="352"/>
      <c r="R51" s="352"/>
      <c r="S51" s="352"/>
      <c r="T51" s="352"/>
      <c r="U51" s="352"/>
      <c r="V51" s="352"/>
      <c r="W51" s="352"/>
      <c r="AC51" s="1010" t="str">
        <f>A51</f>
        <v>New Levy Modeled Line # 13.20</v>
      </c>
      <c r="AD51" s="1015">
        <f t="shared" si="19"/>
        <v>0</v>
      </c>
      <c r="AE51" s="1015">
        <f t="shared" si="19"/>
        <v>0</v>
      </c>
      <c r="AF51" s="1015">
        <f t="shared" si="19"/>
        <v>0</v>
      </c>
      <c r="AG51" s="1015">
        <f t="shared" si="19"/>
        <v>0</v>
      </c>
      <c r="AH51" s="1015">
        <f t="shared" si="19"/>
        <v>0</v>
      </c>
      <c r="AI51" s="352"/>
    </row>
    <row r="52" spans="1:35" s="319" customFormat="1" ht="16.2" thickBot="1">
      <c r="A52" s="856" t="s">
        <v>377</v>
      </c>
      <c r="B52" s="758"/>
      <c r="C52" s="345">
        <v>0</v>
      </c>
      <c r="D52" s="345">
        <f t="shared" ref="D52:G52" si="20">D50+D51</f>
        <v>0</v>
      </c>
      <c r="E52" s="345">
        <f t="shared" si="20"/>
        <v>0</v>
      </c>
      <c r="F52" s="345">
        <f t="shared" si="20"/>
        <v>0</v>
      </c>
      <c r="G52" s="345">
        <f t="shared" si="20"/>
        <v>0</v>
      </c>
      <c r="H52" s="345">
        <f t="shared" ref="H52:I52" si="21">H50+H51</f>
        <v>0</v>
      </c>
      <c r="I52" s="345">
        <f t="shared" si="21"/>
        <v>0</v>
      </c>
      <c r="J52" s="345">
        <f t="shared" ref="J52" si="22">J50+J51</f>
        <v>0</v>
      </c>
      <c r="K52" s="1523"/>
      <c r="L52" s="352"/>
      <c r="M52" s="403"/>
      <c r="N52" s="434"/>
      <c r="O52" s="352"/>
      <c r="P52" s="352"/>
      <c r="Q52" s="352"/>
      <c r="R52" s="352"/>
      <c r="S52" s="352"/>
      <c r="T52" s="352"/>
      <c r="U52" s="352"/>
      <c r="V52" s="352"/>
      <c r="W52" s="352"/>
      <c r="AC52" s="1010" t="str">
        <f>A52</f>
        <v>Total Line # 13.30</v>
      </c>
      <c r="AD52" s="1016">
        <f t="shared" si="19"/>
        <v>0</v>
      </c>
      <c r="AE52" s="1016">
        <f t="shared" si="19"/>
        <v>0</v>
      </c>
      <c r="AF52" s="1016">
        <f t="shared" si="19"/>
        <v>0</v>
      </c>
      <c r="AG52" s="1016">
        <f t="shared" si="19"/>
        <v>0</v>
      </c>
      <c r="AH52" s="1016">
        <f t="shared" si="19"/>
        <v>0</v>
      </c>
      <c r="AI52" s="352"/>
    </row>
    <row r="53" spans="1:35" s="319" customFormat="1" ht="16.2" thickBot="1">
      <c r="A53" s="759" t="s">
        <v>250</v>
      </c>
      <c r="B53" s="751"/>
      <c r="L53" s="352"/>
      <c r="M53" s="1005"/>
      <c r="N53" s="1005"/>
      <c r="O53" s="352"/>
      <c r="P53" s="352"/>
      <c r="Q53" s="352"/>
      <c r="R53" s="352"/>
      <c r="S53" s="352"/>
      <c r="T53" s="352"/>
      <c r="U53" s="352"/>
      <c r="V53" s="352"/>
      <c r="W53" s="352"/>
      <c r="AC53" s="1010"/>
      <c r="AD53" s="1012"/>
      <c r="AE53" s="1012"/>
      <c r="AF53" s="1012"/>
      <c r="AG53" s="1012"/>
      <c r="AH53" s="1012"/>
      <c r="AI53" s="352"/>
    </row>
    <row r="54" spans="1:35" s="319" customFormat="1" ht="15.75" customHeight="1">
      <c r="A54" s="752"/>
      <c r="B54" s="753"/>
      <c r="C54" s="330"/>
      <c r="D54" s="330"/>
      <c r="E54" s="330"/>
      <c r="F54" s="330"/>
      <c r="G54" s="330"/>
      <c r="H54" s="330"/>
      <c r="I54" s="330"/>
      <c r="J54" s="330"/>
      <c r="K54" s="1522"/>
      <c r="L54" s="352"/>
      <c r="M54" s="352"/>
      <c r="N54" s="352"/>
      <c r="O54" s="352"/>
      <c r="P54" s="352"/>
      <c r="Q54" s="352"/>
      <c r="R54" s="352"/>
      <c r="S54" s="352"/>
      <c r="T54" s="352"/>
      <c r="U54" s="352"/>
      <c r="V54" s="352"/>
      <c r="W54" s="352"/>
      <c r="AC54" s="1010"/>
      <c r="AD54" s="1012"/>
      <c r="AE54" s="1012"/>
      <c r="AF54" s="1012"/>
      <c r="AG54" s="1012"/>
      <c r="AH54" s="1012"/>
      <c r="AI54" s="352"/>
    </row>
    <row r="55" spans="1:35" s="319" customFormat="1" ht="15" customHeight="1">
      <c r="A55" s="857" t="s">
        <v>378</v>
      </c>
      <c r="B55" s="760"/>
      <c r="C55" s="346"/>
      <c r="D55" s="346"/>
      <c r="E55" s="480"/>
      <c r="F55" s="584"/>
      <c r="G55" s="654"/>
      <c r="H55" s="669"/>
      <c r="I55" s="713"/>
      <c r="J55" s="736"/>
      <c r="K55" s="736"/>
      <c r="L55" s="352"/>
      <c r="M55" s="1005"/>
      <c r="N55" s="352"/>
      <c r="O55" s="352"/>
      <c r="P55" s="352"/>
      <c r="Q55" s="352"/>
      <c r="R55" s="352"/>
      <c r="S55" s="352"/>
      <c r="T55" s="352"/>
      <c r="U55" s="352"/>
      <c r="V55" s="352"/>
      <c r="W55" s="352"/>
      <c r="AC55" s="1010"/>
      <c r="AD55" s="1012"/>
      <c r="AE55" s="1012"/>
      <c r="AF55" s="1012"/>
      <c r="AG55" s="1012"/>
      <c r="AH55" s="1012"/>
      <c r="AI55" s="352"/>
    </row>
    <row r="56" spans="1:35" ht="15.75" customHeight="1">
      <c r="A56" s="763"/>
      <c r="B56" s="762"/>
      <c r="C56" s="346"/>
      <c r="D56" s="346"/>
      <c r="E56" s="480"/>
      <c r="F56" s="584"/>
      <c r="G56" s="654"/>
      <c r="H56" s="669"/>
      <c r="I56" s="713"/>
      <c r="J56" s="736"/>
      <c r="K56" s="736"/>
      <c r="AC56" s="1370"/>
      <c r="AD56" s="1371"/>
      <c r="AE56" s="1371"/>
      <c r="AF56" s="1371"/>
      <c r="AG56" s="1371"/>
      <c r="AH56" s="1371"/>
    </row>
    <row r="57" spans="1:35" ht="15.75" customHeight="1">
      <c r="A57" s="761" t="s">
        <v>265</v>
      </c>
      <c r="B57" s="349"/>
      <c r="C57" s="921" t="s">
        <v>431</v>
      </c>
      <c r="D57" s="921" t="str">
        <f t="shared" ref="D57:I57" si="23">D26</f>
        <v>FY20</v>
      </c>
      <c r="E57" s="921" t="str">
        <f t="shared" si="23"/>
        <v>FY21</v>
      </c>
      <c r="F57" s="921" t="str">
        <f t="shared" si="23"/>
        <v>FY22</v>
      </c>
      <c r="G57" s="921" t="str">
        <f t="shared" si="23"/>
        <v>FY23</v>
      </c>
      <c r="H57" s="921" t="str">
        <f t="shared" si="23"/>
        <v>FY24</v>
      </c>
      <c r="I57" s="921" t="str">
        <f t="shared" si="23"/>
        <v>FY25</v>
      </c>
      <c r="J57" s="921" t="str">
        <f t="shared" ref="J57" si="24">J26</f>
        <v>FY26</v>
      </c>
      <c r="K57" s="349"/>
      <c r="M57" s="1515"/>
      <c r="AC57" s="1029" t="str">
        <f>A57</f>
        <v>Source</v>
      </c>
      <c r="AD57" s="1017" t="str">
        <f t="shared" ref="AD57:AH58" si="25">F57</f>
        <v>FY22</v>
      </c>
      <c r="AE57" s="1017" t="str">
        <f t="shared" si="25"/>
        <v>FY23</v>
      </c>
      <c r="AF57" s="1017" t="str">
        <f t="shared" si="25"/>
        <v>FY24</v>
      </c>
      <c r="AG57" s="1017" t="str">
        <f t="shared" si="25"/>
        <v>FY25</v>
      </c>
      <c r="AH57" s="1017" t="str">
        <f t="shared" si="25"/>
        <v>FY26</v>
      </c>
    </row>
    <row r="58" spans="1:35" ht="15.75" customHeight="1">
      <c r="A58" s="763" t="s">
        <v>893</v>
      </c>
      <c r="B58" s="764"/>
      <c r="C58" s="1436">
        <v>1240772</v>
      </c>
      <c r="D58" s="1436">
        <f>ROUND(Tax!G25,0)</f>
        <v>1461169</v>
      </c>
      <c r="E58" s="1436">
        <f>ROUND(Tax!H25,0)</f>
        <v>1654190</v>
      </c>
      <c r="F58" s="1436">
        <f>ROUND(Tax!I25,0)</f>
        <v>1732218</v>
      </c>
      <c r="G58" s="1436">
        <f>ROUND(Tax!J25,0)</f>
        <v>1709024</v>
      </c>
      <c r="H58" s="1436">
        <f>ROUND(Tax!K25,0)</f>
        <v>1681257</v>
      </c>
      <c r="I58" s="1436">
        <f>ROUND(Tax!L25,0)</f>
        <v>1754325</v>
      </c>
      <c r="J58" s="1436">
        <f>ROUND(Tax!M25,0)</f>
        <v>1827391</v>
      </c>
      <c r="K58" s="350"/>
      <c r="M58" s="434"/>
      <c r="N58" s="434"/>
      <c r="AC58" s="1010" t="str">
        <f>A58</f>
        <v>Public Utility Personal Property (Line#1.020)</v>
      </c>
      <c r="AD58" s="1012">
        <f t="shared" si="25"/>
        <v>1732218</v>
      </c>
      <c r="AE58" s="1012">
        <f t="shared" si="25"/>
        <v>1709024</v>
      </c>
      <c r="AF58" s="1012">
        <f t="shared" si="25"/>
        <v>1681257</v>
      </c>
      <c r="AG58" s="1012">
        <f t="shared" si="25"/>
        <v>1754325</v>
      </c>
      <c r="AH58" s="1012">
        <f t="shared" si="25"/>
        <v>1827391</v>
      </c>
    </row>
    <row r="59" spans="1:35" ht="16.2" thickBot="1">
      <c r="A59" s="766"/>
      <c r="B59" s="767"/>
      <c r="C59" s="351"/>
      <c r="D59" s="351"/>
      <c r="E59" s="351"/>
      <c r="F59" s="351"/>
      <c r="G59" s="351"/>
      <c r="H59" s="351"/>
      <c r="I59" s="351"/>
      <c r="J59" s="351"/>
      <c r="K59" s="1524"/>
      <c r="M59" s="1006"/>
      <c r="AC59" s="1010"/>
      <c r="AD59" s="1012"/>
      <c r="AE59" s="1012"/>
      <c r="AF59" s="1012"/>
      <c r="AG59" s="1012"/>
      <c r="AH59" s="1012"/>
    </row>
    <row r="60" spans="1:35" s="319" customFormat="1">
      <c r="A60" s="750"/>
      <c r="B60" s="768"/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1006"/>
      <c r="N60" s="1006"/>
      <c r="O60" s="352"/>
      <c r="P60" s="352"/>
      <c r="Q60" s="352"/>
      <c r="R60" s="352"/>
      <c r="S60" s="352"/>
      <c r="T60" s="352"/>
      <c r="U60" s="352"/>
      <c r="V60" s="352"/>
      <c r="W60" s="352"/>
      <c r="AC60" s="1010"/>
      <c r="AD60" s="1012"/>
      <c r="AE60" s="1012"/>
      <c r="AF60" s="1012"/>
      <c r="AG60" s="1012"/>
      <c r="AH60" s="1012"/>
      <c r="AI60" s="352"/>
    </row>
    <row r="61" spans="1:35" s="319" customFormat="1" ht="15" customHeight="1">
      <c r="A61" s="858" t="s">
        <v>383</v>
      </c>
      <c r="B61" s="769"/>
      <c r="C61" s="353"/>
      <c r="D61" s="353"/>
      <c r="E61" s="483"/>
      <c r="F61" s="587"/>
      <c r="G61" s="655"/>
      <c r="H61" s="672"/>
      <c r="I61" s="716"/>
      <c r="J61" s="716"/>
      <c r="K61" s="354"/>
      <c r="L61" s="1514"/>
      <c r="M61" s="1006"/>
      <c r="N61" s="352"/>
      <c r="O61" s="352"/>
      <c r="P61" s="352"/>
      <c r="Q61" s="352"/>
      <c r="R61" s="352"/>
      <c r="S61" s="352"/>
      <c r="T61" s="352"/>
      <c r="U61" s="352"/>
      <c r="V61" s="352"/>
      <c r="W61" s="352"/>
      <c r="AC61" s="1010"/>
      <c r="AD61" s="1012"/>
      <c r="AE61" s="1012"/>
      <c r="AF61" s="1012"/>
      <c r="AG61" s="1012"/>
      <c r="AH61" s="1012"/>
      <c r="AI61" s="352"/>
    </row>
    <row r="62" spans="1:35" s="319" customFormat="1">
      <c r="A62" s="770" t="s">
        <v>380</v>
      </c>
      <c r="B62" s="771"/>
      <c r="C62" s="355"/>
      <c r="D62" s="355"/>
      <c r="E62" s="355"/>
      <c r="F62" s="355"/>
      <c r="G62" s="355"/>
      <c r="H62" s="355"/>
      <c r="I62" s="355"/>
      <c r="J62" s="355"/>
      <c r="K62" s="354"/>
      <c r="L62" s="1514"/>
      <c r="M62" s="1006"/>
      <c r="N62" s="352"/>
      <c r="O62" s="352"/>
      <c r="P62" s="352"/>
      <c r="Q62" s="352"/>
      <c r="R62" s="352"/>
      <c r="S62" s="352"/>
      <c r="T62" s="352"/>
      <c r="U62" s="352"/>
      <c r="V62" s="352"/>
      <c r="W62" s="352"/>
      <c r="AC62" s="1370"/>
      <c r="AD62" s="1371"/>
      <c r="AE62" s="1371"/>
      <c r="AF62" s="1371"/>
      <c r="AG62" s="1371"/>
      <c r="AH62" s="1371"/>
      <c r="AI62" s="352"/>
    </row>
    <row r="63" spans="1:35" s="319" customFormat="1">
      <c r="A63" s="770" t="s">
        <v>265</v>
      </c>
      <c r="B63" s="356"/>
      <c r="C63" s="920" t="s">
        <v>431</v>
      </c>
      <c r="D63" s="920" t="str">
        <f t="shared" ref="D63:I63" si="26">D26</f>
        <v>FY20</v>
      </c>
      <c r="E63" s="920" t="str">
        <f t="shared" si="26"/>
        <v>FY21</v>
      </c>
      <c r="F63" s="920" t="str">
        <f t="shared" si="26"/>
        <v>FY22</v>
      </c>
      <c r="G63" s="920" t="str">
        <f t="shared" si="26"/>
        <v>FY23</v>
      </c>
      <c r="H63" s="920" t="str">
        <f t="shared" si="26"/>
        <v>FY24</v>
      </c>
      <c r="I63" s="920" t="str">
        <f t="shared" si="26"/>
        <v>FY25</v>
      </c>
      <c r="J63" s="920" t="str">
        <f t="shared" ref="J63" si="27">J26</f>
        <v>FY26</v>
      </c>
      <c r="K63" s="354"/>
      <c r="L63" s="1514"/>
      <c r="M63" s="1006"/>
      <c r="N63" s="352"/>
      <c r="O63" s="352"/>
      <c r="P63" s="352"/>
      <c r="Q63" s="352"/>
      <c r="R63" s="352"/>
      <c r="S63" s="352"/>
      <c r="T63" s="352"/>
      <c r="U63" s="352"/>
      <c r="V63" s="352"/>
      <c r="W63" s="352"/>
      <c r="AC63" s="1029" t="str">
        <f>A63</f>
        <v>Source</v>
      </c>
      <c r="AD63" s="1018" t="str">
        <f t="shared" ref="AD63:AH66" si="28">F63</f>
        <v>FY22</v>
      </c>
      <c r="AE63" s="1018" t="str">
        <f t="shared" si="28"/>
        <v>FY23</v>
      </c>
      <c r="AF63" s="1018" t="str">
        <f t="shared" si="28"/>
        <v>FY24</v>
      </c>
      <c r="AG63" s="1018" t="str">
        <f t="shared" si="28"/>
        <v>FY25</v>
      </c>
      <c r="AH63" s="1018" t="str">
        <f t="shared" si="28"/>
        <v>FY26</v>
      </c>
      <c r="AI63" s="352"/>
    </row>
    <row r="64" spans="1:35" s="319" customFormat="1">
      <c r="A64" s="859" t="s">
        <v>899</v>
      </c>
      <c r="B64" s="772"/>
      <c r="C64" s="357"/>
      <c r="D64" s="357"/>
      <c r="E64" s="357"/>
      <c r="F64" s="357"/>
      <c r="G64" s="357"/>
      <c r="H64" s="357"/>
      <c r="I64" s="357"/>
      <c r="J64" s="357"/>
      <c r="K64" s="354"/>
      <c r="L64" s="1514"/>
      <c r="M64" s="1006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AC64" s="1010" t="str">
        <f>A64</f>
        <v>School District Income Tax</v>
      </c>
      <c r="AD64" s="1012">
        <f t="shared" si="28"/>
        <v>0</v>
      </c>
      <c r="AE64" s="1012">
        <f t="shared" si="28"/>
        <v>0</v>
      </c>
      <c r="AF64" s="1012">
        <f t="shared" si="28"/>
        <v>0</v>
      </c>
      <c r="AG64" s="1012">
        <f t="shared" si="28"/>
        <v>0</v>
      </c>
      <c r="AH64" s="1012">
        <f t="shared" si="28"/>
        <v>0</v>
      </c>
      <c r="AI64" s="352"/>
    </row>
    <row r="65" spans="1:35" s="319" customFormat="1">
      <c r="A65" s="773" t="s">
        <v>381</v>
      </c>
      <c r="B65" s="774"/>
      <c r="C65" s="358"/>
      <c r="D65" s="358"/>
      <c r="E65" s="358"/>
      <c r="F65" s="358"/>
      <c r="G65" s="358"/>
      <c r="H65" s="358"/>
      <c r="I65" s="358"/>
      <c r="J65" s="358"/>
      <c r="K65" s="354"/>
      <c r="L65" s="1514"/>
      <c r="M65" s="1006"/>
      <c r="N65" s="352"/>
      <c r="O65" s="352"/>
      <c r="P65" s="352"/>
      <c r="Q65" s="352"/>
      <c r="R65" s="352"/>
      <c r="S65" s="352"/>
      <c r="T65" s="352"/>
      <c r="U65" s="352"/>
      <c r="V65" s="352"/>
      <c r="W65" s="352"/>
      <c r="AC65" s="1010" t="str">
        <f>A65</f>
        <v xml:space="preserve">Adjustments </v>
      </c>
      <c r="AD65" s="1015">
        <f t="shared" si="28"/>
        <v>0</v>
      </c>
      <c r="AE65" s="1015">
        <f t="shared" si="28"/>
        <v>0</v>
      </c>
      <c r="AF65" s="1015">
        <f t="shared" si="28"/>
        <v>0</v>
      </c>
      <c r="AG65" s="1015">
        <f t="shared" si="28"/>
        <v>0</v>
      </c>
      <c r="AH65" s="1015">
        <f t="shared" si="28"/>
        <v>0</v>
      </c>
      <c r="AI65" s="352"/>
    </row>
    <row r="66" spans="1:35" s="319" customFormat="1" ht="15.6">
      <c r="A66" s="775" t="s">
        <v>382</v>
      </c>
      <c r="B66" s="776"/>
      <c r="C66" s="359"/>
      <c r="D66" s="359"/>
      <c r="E66" s="359"/>
      <c r="F66" s="359"/>
      <c r="G66" s="359"/>
      <c r="H66" s="359"/>
      <c r="I66" s="359"/>
      <c r="J66" s="359"/>
      <c r="K66" s="354"/>
      <c r="L66" s="1514"/>
      <c r="M66" s="1006"/>
      <c r="N66" s="352"/>
      <c r="O66" s="352"/>
      <c r="P66" s="352"/>
      <c r="Q66" s="352"/>
      <c r="R66" s="352"/>
      <c r="S66" s="352"/>
      <c r="T66" s="352"/>
      <c r="U66" s="352"/>
      <c r="V66" s="352"/>
      <c r="W66" s="352"/>
      <c r="AC66" s="1372" t="str">
        <f>A66</f>
        <v>Total  to Line #1.030</v>
      </c>
      <c r="AD66" s="1373">
        <f t="shared" si="28"/>
        <v>0</v>
      </c>
      <c r="AE66" s="1373">
        <f t="shared" si="28"/>
        <v>0</v>
      </c>
      <c r="AF66" s="1373">
        <f t="shared" si="28"/>
        <v>0</v>
      </c>
      <c r="AG66" s="1373">
        <f t="shared" si="28"/>
        <v>0</v>
      </c>
      <c r="AH66" s="1373">
        <f t="shared" si="28"/>
        <v>0</v>
      </c>
      <c r="AI66" s="352"/>
    </row>
    <row r="67" spans="1:35" s="319" customFormat="1">
      <c r="A67" s="773"/>
      <c r="B67" s="771"/>
      <c r="C67" s="632"/>
      <c r="D67" s="632"/>
      <c r="E67" s="632"/>
      <c r="F67" s="632"/>
      <c r="G67" s="632"/>
      <c r="H67" s="632"/>
      <c r="I67" s="632"/>
      <c r="J67" s="632"/>
      <c r="K67" s="354"/>
      <c r="L67" s="1514"/>
      <c r="M67" s="1006"/>
      <c r="N67" s="352"/>
      <c r="O67" s="352"/>
      <c r="P67" s="352"/>
      <c r="Q67" s="352"/>
      <c r="R67" s="352"/>
      <c r="S67" s="352"/>
      <c r="T67" s="352"/>
      <c r="U67" s="352"/>
      <c r="V67" s="352"/>
      <c r="W67" s="352"/>
      <c r="AC67" s="1010"/>
      <c r="AD67" s="1012"/>
      <c r="AE67" s="1012"/>
      <c r="AF67" s="1012"/>
      <c r="AG67" s="1012"/>
      <c r="AH67" s="1012"/>
      <c r="AI67" s="352"/>
    </row>
    <row r="68" spans="1:35" s="319" customFormat="1">
      <c r="A68" s="773"/>
      <c r="B68" s="771"/>
      <c r="C68" s="631"/>
      <c r="D68" s="631"/>
      <c r="E68" s="631"/>
      <c r="F68" s="631"/>
      <c r="G68" s="631"/>
      <c r="H68" s="631"/>
      <c r="I68" s="631"/>
      <c r="J68" s="631"/>
      <c r="K68" s="354"/>
      <c r="L68" s="1514"/>
      <c r="M68" s="1006"/>
      <c r="N68" s="352"/>
      <c r="O68" s="352"/>
      <c r="P68" s="352"/>
      <c r="Q68" s="352"/>
      <c r="R68" s="352"/>
      <c r="S68" s="352"/>
      <c r="T68" s="352"/>
      <c r="U68" s="352"/>
      <c r="V68" s="352"/>
      <c r="W68" s="352"/>
      <c r="AC68" s="1010"/>
      <c r="AD68" s="1012"/>
      <c r="AE68" s="1012"/>
      <c r="AF68" s="1012"/>
      <c r="AG68" s="1012"/>
      <c r="AH68" s="1012"/>
      <c r="AI68" s="352"/>
    </row>
    <row r="69" spans="1:35" s="319" customFormat="1" ht="20.25" customHeight="1" thickBot="1">
      <c r="A69" s="777"/>
      <c r="B69" s="778"/>
      <c r="C69" s="352"/>
      <c r="D69" s="352"/>
      <c r="E69" s="352"/>
      <c r="F69" s="352"/>
      <c r="G69" s="352"/>
      <c r="H69" s="352"/>
      <c r="I69" s="352"/>
      <c r="J69" s="352"/>
      <c r="K69" s="352"/>
      <c r="L69" s="1514"/>
      <c r="M69" s="352"/>
      <c r="N69" s="352"/>
      <c r="P69" s="352"/>
      <c r="Q69" s="352"/>
      <c r="R69" s="352"/>
      <c r="S69" s="352"/>
      <c r="T69" s="352"/>
      <c r="U69" s="352"/>
      <c r="V69" s="352"/>
      <c r="W69" s="352"/>
      <c r="AC69" s="1010"/>
      <c r="AD69" s="1012"/>
      <c r="AE69" s="1012"/>
      <c r="AF69" s="1012"/>
      <c r="AG69" s="1012"/>
      <c r="AH69" s="1012"/>
      <c r="AI69" s="352"/>
    </row>
    <row r="70" spans="1:35" s="319" customFormat="1" ht="15.6">
      <c r="A70" s="752"/>
      <c r="B70" s="753"/>
      <c r="C70" s="330"/>
      <c r="D70" s="330"/>
      <c r="E70" s="330"/>
      <c r="F70" s="330"/>
      <c r="G70" s="330"/>
      <c r="H70" s="330"/>
      <c r="I70" s="330"/>
      <c r="J70" s="330"/>
      <c r="K70" s="1522"/>
      <c r="L70" s="1514"/>
      <c r="M70" s="352"/>
      <c r="N70" s="352"/>
      <c r="O70" s="352"/>
      <c r="P70" s="352"/>
      <c r="Q70" s="352"/>
      <c r="R70" s="352"/>
      <c r="S70" s="352"/>
      <c r="T70" s="352"/>
      <c r="U70" s="352"/>
      <c r="V70" s="352"/>
      <c r="W70" s="352"/>
      <c r="AC70" s="1010"/>
      <c r="AD70" s="1012"/>
      <c r="AE70" s="1012"/>
      <c r="AF70" s="1012"/>
      <c r="AG70" s="1012"/>
      <c r="AH70" s="1012"/>
      <c r="AI70" s="352"/>
    </row>
    <row r="71" spans="1:35" ht="15" customHeight="1">
      <c r="A71" s="861" t="s">
        <v>1027</v>
      </c>
      <c r="B71" s="787"/>
      <c r="C71" s="371"/>
      <c r="D71" s="733"/>
      <c r="E71" s="486"/>
      <c r="F71" s="590"/>
      <c r="G71" s="648"/>
      <c r="H71" s="675"/>
      <c r="I71" s="719"/>
      <c r="J71" s="733"/>
      <c r="K71" s="374"/>
      <c r="AC71" s="1010"/>
      <c r="AD71" s="1012"/>
      <c r="AE71" s="1012"/>
      <c r="AF71" s="1012"/>
      <c r="AG71" s="1012"/>
      <c r="AH71" s="1012"/>
    </row>
    <row r="72" spans="1:35">
      <c r="A72" s="788" t="s">
        <v>454</v>
      </c>
      <c r="B72" s="789"/>
      <c r="C72" s="372">
        <v>2904.8195445920301</v>
      </c>
      <c r="D72" s="372">
        <f>+D79/D73</f>
        <v>2927.2592317684171</v>
      </c>
      <c r="E72" s="372">
        <v>2759.5</v>
      </c>
      <c r="F72" s="1520">
        <v>2665</v>
      </c>
      <c r="G72" s="1520">
        <f t="shared" ref="G72:J72" si="29">+F72</f>
        <v>2665</v>
      </c>
      <c r="H72" s="1520">
        <f t="shared" si="29"/>
        <v>2665</v>
      </c>
      <c r="I72" s="1520">
        <f t="shared" si="29"/>
        <v>2665</v>
      </c>
      <c r="J72" s="1520">
        <f t="shared" si="29"/>
        <v>2665</v>
      </c>
      <c r="K72" s="374"/>
      <c r="M72" s="1564"/>
      <c r="N72" s="434"/>
      <c r="AC72" s="1010"/>
      <c r="AD72" s="1012"/>
      <c r="AE72" s="1012"/>
      <c r="AF72" s="1012"/>
      <c r="AG72" s="1012"/>
      <c r="AH72" s="1012"/>
    </row>
    <row r="73" spans="1:35" ht="15.6">
      <c r="A73" s="788" t="s">
        <v>455</v>
      </c>
      <c r="B73" s="789"/>
      <c r="C73" s="1521">
        <v>52.7</v>
      </c>
      <c r="D73" s="1521">
        <v>53.89</v>
      </c>
      <c r="E73" s="1521">
        <v>41.74</v>
      </c>
      <c r="F73" s="373">
        <v>59.8</v>
      </c>
      <c r="G73" s="373">
        <f>ROUND(F73*1.02,2)</f>
        <v>61</v>
      </c>
      <c r="H73" s="373">
        <f t="shared" ref="H73:J73" si="30">ROUND(G73*1.02,2)</f>
        <v>62.22</v>
      </c>
      <c r="I73" s="373">
        <f t="shared" si="30"/>
        <v>63.46</v>
      </c>
      <c r="J73" s="373">
        <f t="shared" si="30"/>
        <v>64.73</v>
      </c>
      <c r="K73" s="374"/>
      <c r="L73" s="403"/>
      <c r="M73" s="1565"/>
      <c r="N73" s="434"/>
      <c r="AC73" s="1010"/>
      <c r="AD73" s="1012"/>
      <c r="AE73" s="1012"/>
      <c r="AF73" s="1012"/>
      <c r="AG73" s="1012"/>
      <c r="AH73" s="1012"/>
    </row>
    <row r="74" spans="1:35" ht="25.5" customHeight="1">
      <c r="A74" s="788" t="s">
        <v>263</v>
      </c>
      <c r="B74" s="790"/>
      <c r="C74" s="374"/>
      <c r="D74" s="374"/>
      <c r="E74" s="374"/>
      <c r="F74" s="374"/>
      <c r="G74" s="374"/>
      <c r="H74" s="374"/>
      <c r="I74" s="374"/>
      <c r="J74" s="374"/>
      <c r="K74" s="374"/>
      <c r="AC74" s="1370"/>
      <c r="AD74" s="1371"/>
      <c r="AE74" s="1371"/>
      <c r="AF74" s="1371"/>
      <c r="AG74" s="1371"/>
      <c r="AH74" s="1371"/>
    </row>
    <row r="75" spans="1:35">
      <c r="A75" s="788" t="s">
        <v>265</v>
      </c>
      <c r="B75" s="375"/>
      <c r="C75" s="917" t="s">
        <v>431</v>
      </c>
      <c r="D75" s="917" t="str">
        <f t="shared" ref="D75:I75" si="31">D26</f>
        <v>FY20</v>
      </c>
      <c r="E75" s="917" t="str">
        <f t="shared" si="31"/>
        <v>FY21</v>
      </c>
      <c r="F75" s="917" t="str">
        <f t="shared" si="31"/>
        <v>FY22</v>
      </c>
      <c r="G75" s="917" t="str">
        <f t="shared" si="31"/>
        <v>FY23</v>
      </c>
      <c r="H75" s="917" t="str">
        <f t="shared" si="31"/>
        <v>FY24</v>
      </c>
      <c r="I75" s="917" t="str">
        <f t="shared" si="31"/>
        <v>FY25</v>
      </c>
      <c r="J75" s="917" t="str">
        <f t="shared" ref="J75" si="32">J26</f>
        <v>FY26</v>
      </c>
      <c r="K75" s="374"/>
      <c r="M75" s="1515"/>
      <c r="AC75" s="1029" t="str">
        <f t="shared" ref="AC75:AC80" si="33">A75</f>
        <v>Source</v>
      </c>
      <c r="AD75" s="1017" t="str">
        <f t="shared" ref="AD75:AH80" si="34">F75</f>
        <v>FY22</v>
      </c>
      <c r="AE75" s="1017" t="str">
        <f t="shared" si="34"/>
        <v>FY23</v>
      </c>
      <c r="AF75" s="1017" t="str">
        <f t="shared" si="34"/>
        <v>FY24</v>
      </c>
      <c r="AG75" s="1017" t="str">
        <f t="shared" si="34"/>
        <v>FY25</v>
      </c>
      <c r="AH75" s="1017" t="str">
        <f t="shared" si="34"/>
        <v>FY26</v>
      </c>
    </row>
    <row r="76" spans="1:35">
      <c r="A76" s="791" t="s">
        <v>428</v>
      </c>
      <c r="B76" s="792"/>
      <c r="C76" s="376">
        <v>17822805</v>
      </c>
      <c r="D76" s="376">
        <f>+D78-D77</f>
        <v>17214539</v>
      </c>
      <c r="E76" s="376">
        <f>+E78-E77</f>
        <v>17512109</v>
      </c>
      <c r="F76" s="376">
        <f>ROUND(17751931-F77-SUM(F85:F88),0)-231423</f>
        <v>15654738</v>
      </c>
      <c r="G76" s="376">
        <f>ROUND(18621812-G77-SUM(G85:G88),0)-231423</f>
        <v>16524619</v>
      </c>
      <c r="H76" s="376">
        <f>ROUND((18621812*1)-H77-SUM(H85:H88),0)-231423</f>
        <v>16524619</v>
      </c>
      <c r="I76" s="376">
        <f t="shared" ref="I76:J76" si="35">ROUND((18621812*1)-I77-SUM(I85:I88),0)-231423</f>
        <v>16524619</v>
      </c>
      <c r="J76" s="376">
        <f t="shared" si="35"/>
        <v>16524619</v>
      </c>
      <c r="K76" s="375"/>
      <c r="L76" s="1514"/>
      <c r="M76" s="434"/>
      <c r="N76" s="434"/>
      <c r="AC76" s="1010" t="str">
        <f t="shared" si="33"/>
        <v>Basic Aid-Unrestricted</v>
      </c>
      <c r="AD76" s="1012">
        <f t="shared" si="34"/>
        <v>15654738</v>
      </c>
      <c r="AE76" s="1012">
        <f t="shared" si="34"/>
        <v>16524619</v>
      </c>
      <c r="AF76" s="1012">
        <f t="shared" si="34"/>
        <v>16524619</v>
      </c>
      <c r="AG76" s="1012">
        <f t="shared" si="34"/>
        <v>16524619</v>
      </c>
      <c r="AH76" s="1012">
        <f t="shared" si="34"/>
        <v>16524619</v>
      </c>
    </row>
    <row r="77" spans="1:35">
      <c r="A77" s="791" t="s">
        <v>423</v>
      </c>
      <c r="B77" s="792"/>
      <c r="C77" s="890">
        <v>369185</v>
      </c>
      <c r="D77" s="890">
        <f>266542+78243</f>
        <v>344785</v>
      </c>
      <c r="E77" s="890">
        <f>244866+75533</f>
        <v>320399</v>
      </c>
      <c r="F77" s="344">
        <f t="shared" ref="F77:J77" si="36">ROUND(+E77,0)</f>
        <v>320399</v>
      </c>
      <c r="G77" s="344">
        <f t="shared" si="36"/>
        <v>320399</v>
      </c>
      <c r="H77" s="344">
        <f t="shared" si="36"/>
        <v>320399</v>
      </c>
      <c r="I77" s="344">
        <f t="shared" si="36"/>
        <v>320399</v>
      </c>
      <c r="J77" s="344">
        <f t="shared" si="36"/>
        <v>320399</v>
      </c>
      <c r="K77" s="376"/>
      <c r="M77" s="1563"/>
      <c r="N77" s="434"/>
      <c r="AC77" s="1010" t="str">
        <f t="shared" si="33"/>
        <v>Additional Aid Items</v>
      </c>
      <c r="AD77" s="1015">
        <f t="shared" si="34"/>
        <v>320399</v>
      </c>
      <c r="AE77" s="1015">
        <f t="shared" si="34"/>
        <v>320399</v>
      </c>
      <c r="AF77" s="1015">
        <f t="shared" si="34"/>
        <v>320399</v>
      </c>
      <c r="AG77" s="1015">
        <f t="shared" si="34"/>
        <v>320399</v>
      </c>
      <c r="AH77" s="1015">
        <f t="shared" si="34"/>
        <v>320399</v>
      </c>
    </row>
    <row r="78" spans="1:35" ht="15.6">
      <c r="A78" s="791" t="s">
        <v>456</v>
      </c>
      <c r="B78" s="792"/>
      <c r="C78" s="377">
        <v>18191990</v>
      </c>
      <c r="D78" s="377">
        <v>17559324</v>
      </c>
      <c r="E78" s="377">
        <v>17832508</v>
      </c>
      <c r="F78" s="377">
        <f t="shared" ref="F78:I78" si="37">ROUND(+F76+F77,0)</f>
        <v>15975137</v>
      </c>
      <c r="G78" s="377">
        <f t="shared" si="37"/>
        <v>16845018</v>
      </c>
      <c r="H78" s="377">
        <f t="shared" si="37"/>
        <v>16845018</v>
      </c>
      <c r="I78" s="377">
        <f t="shared" si="37"/>
        <v>16845018</v>
      </c>
      <c r="J78" s="377">
        <f t="shared" ref="J78" si="38">ROUND(+J76+J77,0)</f>
        <v>16845018</v>
      </c>
      <c r="K78" s="376"/>
      <c r="L78" s="1515"/>
      <c r="M78" s="403"/>
      <c r="N78" s="434"/>
      <c r="AC78" s="1010" t="str">
        <f t="shared" si="33"/>
        <v>Basic Aid-Unrestricted Subtotal</v>
      </c>
      <c r="AD78" s="1016">
        <f t="shared" si="34"/>
        <v>15975137</v>
      </c>
      <c r="AE78" s="1016">
        <f t="shared" si="34"/>
        <v>16845018</v>
      </c>
      <c r="AF78" s="1016">
        <f t="shared" si="34"/>
        <v>16845018</v>
      </c>
      <c r="AG78" s="1016">
        <f t="shared" si="34"/>
        <v>16845018</v>
      </c>
      <c r="AH78" s="1016">
        <f t="shared" si="34"/>
        <v>16845018</v>
      </c>
    </row>
    <row r="79" spans="1:35">
      <c r="A79" s="791" t="s">
        <v>453</v>
      </c>
      <c r="B79" s="792"/>
      <c r="C79" s="890">
        <v>153083.99</v>
      </c>
      <c r="D79" s="890">
        <v>157750</v>
      </c>
      <c r="E79" s="890">
        <v>128108</v>
      </c>
      <c r="F79" s="344">
        <f t="shared" ref="F79:I79" si="39">ROUND(F72*F73,0)</f>
        <v>159367</v>
      </c>
      <c r="G79" s="344">
        <f t="shared" si="39"/>
        <v>162565</v>
      </c>
      <c r="H79" s="344">
        <f t="shared" si="39"/>
        <v>165816</v>
      </c>
      <c r="I79" s="344">
        <f t="shared" si="39"/>
        <v>169121</v>
      </c>
      <c r="J79" s="344">
        <f t="shared" ref="J79" si="40">ROUND(J72*J73,0)</f>
        <v>172505</v>
      </c>
      <c r="K79" s="376"/>
      <c r="L79" s="434"/>
      <c r="M79" s="1563"/>
      <c r="N79" s="434"/>
      <c r="AC79" s="1010" t="str">
        <f t="shared" si="33"/>
        <v>Ohio Casino Commission ODT</v>
      </c>
      <c r="AD79" s="1015">
        <f t="shared" si="34"/>
        <v>159367</v>
      </c>
      <c r="AE79" s="1015">
        <f t="shared" si="34"/>
        <v>162565</v>
      </c>
      <c r="AF79" s="1015">
        <f t="shared" si="34"/>
        <v>165816</v>
      </c>
      <c r="AG79" s="1015">
        <f t="shared" si="34"/>
        <v>169121</v>
      </c>
      <c r="AH79" s="1015">
        <f t="shared" si="34"/>
        <v>172505</v>
      </c>
    </row>
    <row r="80" spans="1:35" ht="15.6">
      <c r="A80" s="788" t="s">
        <v>179</v>
      </c>
      <c r="B80" s="793"/>
      <c r="C80" s="377">
        <v>18345073.989999998</v>
      </c>
      <c r="D80" s="377">
        <f t="shared" ref="D80" si="41">+D78+D79</f>
        <v>17717074</v>
      </c>
      <c r="E80" s="377">
        <f t="shared" ref="E80:I80" si="42">ROUND(+E79+E78,0)</f>
        <v>17960616</v>
      </c>
      <c r="F80" s="377">
        <f t="shared" si="42"/>
        <v>16134504</v>
      </c>
      <c r="G80" s="377">
        <f t="shared" si="42"/>
        <v>17007583</v>
      </c>
      <c r="H80" s="377">
        <f t="shared" si="42"/>
        <v>17010834</v>
      </c>
      <c r="I80" s="377">
        <f t="shared" si="42"/>
        <v>17014139</v>
      </c>
      <c r="J80" s="377">
        <f t="shared" ref="J80" si="43">ROUND(+J79+J78,0)</f>
        <v>17017523</v>
      </c>
      <c r="K80" s="377"/>
      <c r="L80" s="1516"/>
      <c r="M80" s="403"/>
      <c r="N80" s="434"/>
      <c r="AC80" s="1372" t="str">
        <f t="shared" si="33"/>
        <v>Total Unrestricted State Aid Line # 1.035</v>
      </c>
      <c r="AD80" s="1373">
        <f t="shared" si="34"/>
        <v>16134504</v>
      </c>
      <c r="AE80" s="1373">
        <f t="shared" si="34"/>
        <v>17007583</v>
      </c>
      <c r="AF80" s="1373">
        <f t="shared" si="34"/>
        <v>17010834</v>
      </c>
      <c r="AG80" s="1373">
        <f t="shared" si="34"/>
        <v>17014139</v>
      </c>
      <c r="AH80" s="1373">
        <f t="shared" si="34"/>
        <v>17017523</v>
      </c>
    </row>
    <row r="81" spans="1:34" ht="15.6">
      <c r="A81" s="1429" t="s">
        <v>1036</v>
      </c>
      <c r="B81" s="1430"/>
      <c r="C81" s="1431">
        <v>3.1849435697965604E-2</v>
      </c>
      <c r="D81" s="1431">
        <f t="shared" ref="D81:J81" si="44">IFERROR((D80-C80)/C80,0)</f>
        <v>-3.4232622356406117E-2</v>
      </c>
      <c r="E81" s="1431">
        <f t="shared" si="44"/>
        <v>1.3746175017387183E-2</v>
      </c>
      <c r="F81" s="1431">
        <f t="shared" si="44"/>
        <v>-0.10167312746957008</v>
      </c>
      <c r="G81" s="1431">
        <f t="shared" si="44"/>
        <v>5.4112540428884581E-2</v>
      </c>
      <c r="H81" s="1431">
        <f t="shared" si="44"/>
        <v>1.9115002996016541E-4</v>
      </c>
      <c r="I81" s="1431">
        <f t="shared" si="44"/>
        <v>1.9428794614067716E-4</v>
      </c>
      <c r="J81" s="1431">
        <f t="shared" si="44"/>
        <v>1.9889340271641133E-4</v>
      </c>
      <c r="K81" s="377"/>
      <c r="L81" s="403"/>
      <c r="M81" s="434"/>
      <c r="N81" s="434"/>
      <c r="AC81" s="1010"/>
      <c r="AD81" s="1016"/>
      <c r="AE81" s="1016"/>
      <c r="AF81" s="1016"/>
      <c r="AG81" s="1016"/>
      <c r="AH81" s="1016"/>
    </row>
    <row r="82" spans="1:34" ht="15.6">
      <c r="A82" s="788"/>
      <c r="B82" s="793"/>
      <c r="C82" s="374"/>
      <c r="D82" s="376">
        <f>+D76-C76</f>
        <v>-608266</v>
      </c>
      <c r="E82" s="376">
        <f>+E76-C76</f>
        <v>-310696</v>
      </c>
      <c r="F82" s="374"/>
      <c r="G82" s="374"/>
      <c r="H82" s="374"/>
      <c r="I82" s="374"/>
      <c r="J82" s="374"/>
      <c r="K82" s="374"/>
      <c r="L82" s="1517"/>
      <c r="AC82" s="1010"/>
      <c r="AD82" s="1012"/>
      <c r="AE82" s="1012"/>
      <c r="AF82" s="1012"/>
      <c r="AG82" s="1012"/>
      <c r="AH82" s="1012"/>
    </row>
    <row r="83" spans="1:34">
      <c r="A83" s="788" t="s">
        <v>84</v>
      </c>
      <c r="B83" s="790"/>
      <c r="C83" s="374"/>
      <c r="D83" s="374"/>
      <c r="E83" s="374"/>
      <c r="F83" s="374"/>
      <c r="G83" s="374"/>
      <c r="H83" s="374"/>
      <c r="I83" s="374"/>
      <c r="J83" s="374"/>
      <c r="K83" s="374"/>
      <c r="L83" s="1007"/>
      <c r="AC83" s="1370"/>
      <c r="AD83" s="1374"/>
      <c r="AE83" s="1374"/>
      <c r="AF83" s="1374"/>
      <c r="AG83" s="1374"/>
      <c r="AH83" s="1374"/>
    </row>
    <row r="84" spans="1:34">
      <c r="A84" s="788" t="s">
        <v>265</v>
      </c>
      <c r="B84" s="375"/>
      <c r="C84" s="917" t="s">
        <v>431</v>
      </c>
      <c r="D84" s="917" t="str">
        <f t="shared" ref="D84:I84" si="45">D26</f>
        <v>FY20</v>
      </c>
      <c r="E84" s="917" t="str">
        <f t="shared" si="45"/>
        <v>FY21</v>
      </c>
      <c r="F84" s="917" t="str">
        <f t="shared" si="45"/>
        <v>FY22</v>
      </c>
      <c r="G84" s="917" t="str">
        <f t="shared" si="45"/>
        <v>FY23</v>
      </c>
      <c r="H84" s="917" t="str">
        <f t="shared" si="45"/>
        <v>FY24</v>
      </c>
      <c r="I84" s="917" t="str">
        <f t="shared" si="45"/>
        <v>FY25</v>
      </c>
      <c r="J84" s="917" t="str">
        <f t="shared" ref="J84" si="46">J26</f>
        <v>FY26</v>
      </c>
      <c r="K84" s="375"/>
      <c r="M84" s="1515"/>
      <c r="AC84" s="1029" t="str">
        <f>A84</f>
        <v>Source</v>
      </c>
      <c r="AD84" s="1018" t="str">
        <f t="shared" ref="AD84:AH89" si="47">F84</f>
        <v>FY22</v>
      </c>
      <c r="AE84" s="1018" t="str">
        <f t="shared" si="47"/>
        <v>FY23</v>
      </c>
      <c r="AF84" s="1018" t="str">
        <f t="shared" si="47"/>
        <v>FY24</v>
      </c>
      <c r="AG84" s="1018" t="str">
        <f t="shared" si="47"/>
        <v>FY25</v>
      </c>
      <c r="AH84" s="1018" t="str">
        <f t="shared" si="47"/>
        <v>FY26</v>
      </c>
    </row>
    <row r="85" spans="1:34">
      <c r="A85" s="791" t="s">
        <v>1073</v>
      </c>
      <c r="B85" s="792"/>
      <c r="C85" s="376">
        <v>840366.52000000014</v>
      </c>
      <c r="D85" s="376">
        <v>842738.35000000021</v>
      </c>
      <c r="E85" s="376">
        <v>842735</v>
      </c>
      <c r="F85" s="360">
        <f>ROUND(+E85*1,0)</f>
        <v>842735</v>
      </c>
      <c r="G85" s="360">
        <f t="shared" ref="G85:J85" si="48">ROUND(+F85*1,0)</f>
        <v>842735</v>
      </c>
      <c r="H85" s="360">
        <f t="shared" si="48"/>
        <v>842735</v>
      </c>
      <c r="I85" s="360">
        <f t="shared" si="48"/>
        <v>842735</v>
      </c>
      <c r="J85" s="360">
        <f t="shared" si="48"/>
        <v>842735</v>
      </c>
      <c r="K85" s="376"/>
      <c r="M85" s="434"/>
      <c r="N85" s="434"/>
      <c r="AC85" s="1010" t="str">
        <f>A85</f>
        <v>DPIA</v>
      </c>
      <c r="AD85" s="1012">
        <f t="shared" si="47"/>
        <v>842735</v>
      </c>
      <c r="AE85" s="1012">
        <f t="shared" ref="AE85:AE88" si="49">G85</f>
        <v>842735</v>
      </c>
      <c r="AF85" s="1012">
        <f t="shared" ref="AF85:AF88" si="50">H85</f>
        <v>842735</v>
      </c>
      <c r="AG85" s="1012">
        <f t="shared" ref="AG85:AG88" si="51">I85</f>
        <v>842735</v>
      </c>
      <c r="AH85" s="1012">
        <f t="shared" ref="AH85:AH88" si="52">J85</f>
        <v>842735</v>
      </c>
    </row>
    <row r="86" spans="1:34">
      <c r="A86" s="791" t="s">
        <v>1074</v>
      </c>
      <c r="B86" s="792"/>
      <c r="C86" s="891">
        <v>663230.25999999989</v>
      </c>
      <c r="D86" s="891">
        <v>702636.19000000018</v>
      </c>
      <c r="E86" s="891">
        <v>702636</v>
      </c>
      <c r="F86" s="397">
        <f t="shared" ref="F86:J86" si="53">ROUND(+E86*1,0)</f>
        <v>702636</v>
      </c>
      <c r="G86" s="397">
        <f t="shared" si="53"/>
        <v>702636</v>
      </c>
      <c r="H86" s="397">
        <f t="shared" si="53"/>
        <v>702636</v>
      </c>
      <c r="I86" s="397">
        <f t="shared" si="53"/>
        <v>702636</v>
      </c>
      <c r="J86" s="397">
        <f t="shared" si="53"/>
        <v>702636</v>
      </c>
      <c r="K86" s="376"/>
      <c r="M86" s="434"/>
      <c r="N86" s="434"/>
      <c r="AC86" s="1010" t="str">
        <f t="shared" ref="AC86:AC88" si="54">A86</f>
        <v>Career Tech - Restricted</v>
      </c>
      <c r="AD86" s="1014">
        <f t="shared" ref="AD86:AD88" si="55">F86</f>
        <v>702636</v>
      </c>
      <c r="AE86" s="1014">
        <f t="shared" si="49"/>
        <v>702636</v>
      </c>
      <c r="AF86" s="1014">
        <f t="shared" si="50"/>
        <v>702636</v>
      </c>
      <c r="AG86" s="1014">
        <f t="shared" si="51"/>
        <v>702636</v>
      </c>
      <c r="AH86" s="1014">
        <f t="shared" si="52"/>
        <v>702636</v>
      </c>
    </row>
    <row r="87" spans="1:34">
      <c r="A87" s="791" t="s">
        <v>1075</v>
      </c>
      <c r="B87" s="792"/>
      <c r="C87" s="891">
        <v>0</v>
      </c>
      <c r="D87" s="891">
        <v>0</v>
      </c>
      <c r="E87" s="891">
        <v>0</v>
      </c>
      <c r="F87" s="397">
        <f t="shared" ref="F87:J87" si="56">ROUND(+E87*1,0)</f>
        <v>0</v>
      </c>
      <c r="G87" s="397">
        <f t="shared" si="56"/>
        <v>0</v>
      </c>
      <c r="H87" s="397">
        <f t="shared" si="56"/>
        <v>0</v>
      </c>
      <c r="I87" s="397">
        <f t="shared" si="56"/>
        <v>0</v>
      </c>
      <c r="J87" s="397">
        <f t="shared" si="56"/>
        <v>0</v>
      </c>
      <c r="K87" s="376"/>
      <c r="M87" s="434"/>
      <c r="N87" s="434"/>
      <c r="AC87" s="1010" t="str">
        <f t="shared" si="54"/>
        <v>Gifted</v>
      </c>
      <c r="AD87" s="1014">
        <f t="shared" si="55"/>
        <v>0</v>
      </c>
      <c r="AE87" s="1014">
        <f t="shared" si="49"/>
        <v>0</v>
      </c>
      <c r="AF87" s="1014">
        <f t="shared" si="50"/>
        <v>0</v>
      </c>
      <c r="AG87" s="1014">
        <f t="shared" si="51"/>
        <v>0</v>
      </c>
      <c r="AH87" s="1014">
        <f t="shared" si="52"/>
        <v>0</v>
      </c>
    </row>
    <row r="88" spans="1:34">
      <c r="A88" s="791" t="s">
        <v>1076</v>
      </c>
      <c r="B88" s="794"/>
      <c r="C88" s="1555">
        <v>0</v>
      </c>
      <c r="D88" s="1555">
        <v>0</v>
      </c>
      <c r="E88" s="1555">
        <v>0</v>
      </c>
      <c r="F88" s="1554">
        <f t="shared" ref="F88:J88" si="57">ROUND(+E88*1,0)</f>
        <v>0</v>
      </c>
      <c r="G88" s="1554">
        <f t="shared" si="57"/>
        <v>0</v>
      </c>
      <c r="H88" s="1554">
        <f t="shared" si="57"/>
        <v>0</v>
      </c>
      <c r="I88" s="1554">
        <f t="shared" si="57"/>
        <v>0</v>
      </c>
      <c r="J88" s="1554">
        <f t="shared" si="57"/>
        <v>0</v>
      </c>
      <c r="K88" s="379"/>
      <c r="L88" s="1514"/>
      <c r="M88" s="1566"/>
      <c r="N88" s="434"/>
      <c r="AC88" s="1010" t="str">
        <f t="shared" si="54"/>
        <v>ESL</v>
      </c>
      <c r="AD88" s="1015">
        <f t="shared" si="55"/>
        <v>0</v>
      </c>
      <c r="AE88" s="1015">
        <f t="shared" si="49"/>
        <v>0</v>
      </c>
      <c r="AF88" s="1015">
        <f t="shared" si="50"/>
        <v>0</v>
      </c>
      <c r="AG88" s="1015">
        <f t="shared" si="51"/>
        <v>0</v>
      </c>
      <c r="AH88" s="1015">
        <f t="shared" si="52"/>
        <v>0</v>
      </c>
    </row>
    <row r="89" spans="1:34" ht="15.6">
      <c r="A89" s="788" t="s">
        <v>180</v>
      </c>
      <c r="B89" s="793"/>
      <c r="C89" s="377">
        <v>1503596.78</v>
      </c>
      <c r="D89" s="377">
        <f t="shared" ref="D89" si="58">SUM(D85:D88)</f>
        <v>1545374.5400000005</v>
      </c>
      <c r="E89" s="377">
        <f>ROUND(SUM(E85:E88),0)</f>
        <v>1545371</v>
      </c>
      <c r="F89" s="377">
        <f t="shared" ref="F89:I89" si="59">ROUND(SUM(F85:F88),0)</f>
        <v>1545371</v>
      </c>
      <c r="G89" s="377">
        <f t="shared" si="59"/>
        <v>1545371</v>
      </c>
      <c r="H89" s="377">
        <f t="shared" si="59"/>
        <v>1545371</v>
      </c>
      <c r="I89" s="377">
        <f t="shared" si="59"/>
        <v>1545371</v>
      </c>
      <c r="J89" s="377">
        <f t="shared" ref="J89" si="60">ROUND(SUM(J85:J88),0)</f>
        <v>1545371</v>
      </c>
      <c r="K89" s="377"/>
      <c r="L89" s="1514"/>
      <c r="M89" s="403"/>
      <c r="N89" s="434"/>
      <c r="AC89" s="1372" t="str">
        <f>A89</f>
        <v>Total Restricted State Revenues  Line #1.040</v>
      </c>
      <c r="AD89" s="1373">
        <f t="shared" si="47"/>
        <v>1545371</v>
      </c>
      <c r="AE89" s="1373">
        <f t="shared" si="47"/>
        <v>1545371</v>
      </c>
      <c r="AF89" s="1373">
        <f t="shared" si="47"/>
        <v>1545371</v>
      </c>
      <c r="AG89" s="1373">
        <f t="shared" si="47"/>
        <v>1545371</v>
      </c>
      <c r="AH89" s="1373">
        <f t="shared" si="47"/>
        <v>1545371</v>
      </c>
    </row>
    <row r="90" spans="1:34" ht="15.6">
      <c r="A90" s="1429" t="s">
        <v>1036</v>
      </c>
      <c r="B90" s="1430"/>
      <c r="C90" s="1431">
        <v>0.11407292433491836</v>
      </c>
      <c r="D90" s="1431">
        <f t="shared" ref="D90:J90" si="61">IFERROR((D89-C89)/C89,0)</f>
        <v>2.7785215129285175E-2</v>
      </c>
      <c r="E90" s="1431">
        <f t="shared" si="61"/>
        <v>-2.2907068214692554E-6</v>
      </c>
      <c r="F90" s="1431">
        <f t="shared" si="61"/>
        <v>0</v>
      </c>
      <c r="G90" s="1431">
        <f t="shared" si="61"/>
        <v>0</v>
      </c>
      <c r="H90" s="1431">
        <f t="shared" si="61"/>
        <v>0</v>
      </c>
      <c r="I90" s="1431">
        <f t="shared" si="61"/>
        <v>0</v>
      </c>
      <c r="J90" s="1431">
        <f t="shared" si="61"/>
        <v>0</v>
      </c>
      <c r="K90" s="377"/>
      <c r="L90" s="1514"/>
      <c r="M90" s="403"/>
      <c r="AD90" s="1020"/>
      <c r="AE90" s="1020"/>
      <c r="AF90" s="1020"/>
      <c r="AG90" s="1020"/>
      <c r="AH90" s="1020"/>
    </row>
    <row r="91" spans="1:34">
      <c r="A91" s="1432"/>
      <c r="B91" s="1433"/>
      <c r="C91" s="1434"/>
      <c r="D91" s="1435"/>
      <c r="E91" s="1435"/>
      <c r="F91" s="1434"/>
      <c r="G91" s="1434"/>
      <c r="H91" s="1434"/>
      <c r="I91" s="1434"/>
      <c r="J91" s="1434"/>
      <c r="K91" s="374"/>
      <c r="L91" s="1514"/>
      <c r="AC91" s="1010"/>
      <c r="AD91" s="1012"/>
      <c r="AE91" s="1012"/>
      <c r="AF91" s="1012"/>
      <c r="AG91" s="1012"/>
      <c r="AH91" s="1012"/>
    </row>
    <row r="92" spans="1:34">
      <c r="A92" s="788" t="s">
        <v>419</v>
      </c>
      <c r="B92" s="790"/>
      <c r="C92" s="374"/>
      <c r="D92" s="374"/>
      <c r="E92" s="374"/>
      <c r="F92" s="374"/>
      <c r="G92" s="374"/>
      <c r="H92" s="374"/>
      <c r="I92" s="374"/>
      <c r="J92" s="374"/>
      <c r="K92" s="374"/>
      <c r="L92" s="1514"/>
      <c r="AC92" s="1010"/>
      <c r="AD92" s="1012"/>
      <c r="AE92" s="1012"/>
      <c r="AF92" s="1012"/>
      <c r="AG92" s="1012"/>
      <c r="AH92" s="1012"/>
    </row>
    <row r="93" spans="1:34">
      <c r="A93" s="791" t="s">
        <v>417</v>
      </c>
      <c r="B93" s="790"/>
      <c r="C93" s="374"/>
      <c r="D93" s="374"/>
      <c r="E93" s="374"/>
      <c r="F93" s="374"/>
      <c r="G93" s="374"/>
      <c r="H93" s="374"/>
      <c r="I93" s="374"/>
      <c r="J93" s="374"/>
      <c r="K93" s="374"/>
      <c r="L93" s="1514"/>
      <c r="AC93" s="1370"/>
      <c r="AD93" s="1371"/>
      <c r="AE93" s="1371"/>
      <c r="AF93" s="1371"/>
      <c r="AG93" s="1371"/>
      <c r="AH93" s="1371"/>
    </row>
    <row r="94" spans="1:34">
      <c r="A94" s="788" t="s">
        <v>265</v>
      </c>
      <c r="B94" s="375"/>
      <c r="C94" s="917" t="s">
        <v>431</v>
      </c>
      <c r="D94" s="917" t="str">
        <f t="shared" ref="D94:I94" si="62">D26</f>
        <v>FY20</v>
      </c>
      <c r="E94" s="917" t="str">
        <f t="shared" si="62"/>
        <v>FY21</v>
      </c>
      <c r="F94" s="917" t="str">
        <f t="shared" si="62"/>
        <v>FY22</v>
      </c>
      <c r="G94" s="917" t="str">
        <f t="shared" si="62"/>
        <v>FY23</v>
      </c>
      <c r="H94" s="917" t="str">
        <f t="shared" si="62"/>
        <v>FY24</v>
      </c>
      <c r="I94" s="917" t="str">
        <f t="shared" si="62"/>
        <v>FY25</v>
      </c>
      <c r="J94" s="917" t="str">
        <f t="shared" ref="J94" si="63">J26</f>
        <v>FY26</v>
      </c>
      <c r="K94" s="375"/>
      <c r="M94" s="1515"/>
      <c r="AC94" s="1029" t="str">
        <f>A94</f>
        <v>Source</v>
      </c>
      <c r="AD94" s="1018" t="str">
        <f t="shared" ref="AD94:AH95" si="64">F94</f>
        <v>FY22</v>
      </c>
      <c r="AE94" s="1018" t="str">
        <f t="shared" si="64"/>
        <v>FY23</v>
      </c>
      <c r="AF94" s="1018" t="str">
        <f t="shared" si="64"/>
        <v>FY24</v>
      </c>
      <c r="AG94" s="1018" t="str">
        <f t="shared" si="64"/>
        <v>FY25</v>
      </c>
      <c r="AH94" s="1018" t="str">
        <f t="shared" si="64"/>
        <v>FY26</v>
      </c>
    </row>
    <row r="95" spans="1:34" ht="15.6">
      <c r="A95" s="788" t="s">
        <v>201</v>
      </c>
      <c r="B95" s="790"/>
      <c r="C95" s="377">
        <v>0</v>
      </c>
      <c r="D95" s="377">
        <f t="shared" ref="D95:J95" si="65">+C95</f>
        <v>0</v>
      </c>
      <c r="E95" s="377">
        <f t="shared" si="65"/>
        <v>0</v>
      </c>
      <c r="F95" s="377">
        <f t="shared" si="65"/>
        <v>0</v>
      </c>
      <c r="G95" s="377">
        <f t="shared" si="65"/>
        <v>0</v>
      </c>
      <c r="H95" s="377">
        <f t="shared" si="65"/>
        <v>0</v>
      </c>
      <c r="I95" s="377">
        <f t="shared" si="65"/>
        <v>0</v>
      </c>
      <c r="J95" s="377">
        <f t="shared" si="65"/>
        <v>0</v>
      </c>
      <c r="K95" s="377"/>
      <c r="M95" s="403"/>
      <c r="N95" s="434"/>
      <c r="AC95" s="1372" t="str">
        <f>A95</f>
        <v>Restricted Federal Grants in Aid Line # 1.045</v>
      </c>
      <c r="AD95" s="1373">
        <f t="shared" si="64"/>
        <v>0</v>
      </c>
      <c r="AE95" s="1373">
        <f t="shared" si="64"/>
        <v>0</v>
      </c>
      <c r="AF95" s="1373">
        <f t="shared" si="64"/>
        <v>0</v>
      </c>
      <c r="AG95" s="1373">
        <f t="shared" si="64"/>
        <v>0</v>
      </c>
      <c r="AH95" s="1373">
        <f t="shared" si="64"/>
        <v>0</v>
      </c>
    </row>
    <row r="96" spans="1:34">
      <c r="A96" s="791"/>
      <c r="B96" s="790"/>
      <c r="C96" s="374"/>
      <c r="D96" s="374"/>
      <c r="E96" s="374"/>
      <c r="F96" s="374"/>
      <c r="G96" s="374"/>
      <c r="H96" s="374"/>
      <c r="I96" s="374"/>
      <c r="J96" s="374"/>
      <c r="K96" s="374"/>
      <c r="AC96" s="1010"/>
      <c r="AD96" s="1012"/>
      <c r="AE96" s="1012"/>
      <c r="AF96" s="1012"/>
      <c r="AG96" s="1012"/>
      <c r="AH96" s="1012"/>
    </row>
    <row r="97" spans="1:35">
      <c r="A97" s="791"/>
      <c r="B97" s="790"/>
      <c r="C97" s="374"/>
      <c r="D97" s="374"/>
      <c r="E97" s="374"/>
      <c r="F97" s="374"/>
      <c r="G97" s="374"/>
      <c r="H97" s="374"/>
      <c r="I97" s="374"/>
      <c r="J97" s="374"/>
      <c r="K97" s="374"/>
      <c r="AC97" s="1010"/>
      <c r="AD97" s="1012"/>
      <c r="AE97" s="1012"/>
      <c r="AF97" s="1012"/>
      <c r="AG97" s="1012"/>
      <c r="AH97" s="1012"/>
    </row>
    <row r="98" spans="1:35">
      <c r="A98" s="788" t="s">
        <v>181</v>
      </c>
      <c r="B98" s="790"/>
      <c r="C98" s="374"/>
      <c r="D98" s="374"/>
      <c r="E98" s="374"/>
      <c r="F98" s="376"/>
      <c r="G98" s="374"/>
      <c r="H98" s="374"/>
      <c r="I98" s="374"/>
      <c r="J98" s="374"/>
      <c r="K98" s="374"/>
      <c r="AC98" s="1370"/>
      <c r="AD98" s="1371"/>
      <c r="AE98" s="1371"/>
      <c r="AF98" s="1371"/>
      <c r="AG98" s="1371"/>
      <c r="AH98" s="1371"/>
    </row>
    <row r="99" spans="1:35">
      <c r="A99" s="788" t="s">
        <v>900</v>
      </c>
      <c r="B99" s="375"/>
      <c r="C99" s="917" t="s">
        <v>431</v>
      </c>
      <c r="D99" s="917" t="str">
        <f t="shared" ref="D99:I99" si="66">D26</f>
        <v>FY20</v>
      </c>
      <c r="E99" s="917" t="str">
        <f t="shared" si="66"/>
        <v>FY21</v>
      </c>
      <c r="F99" s="917" t="str">
        <f t="shared" si="66"/>
        <v>FY22</v>
      </c>
      <c r="G99" s="917" t="str">
        <f t="shared" si="66"/>
        <v>FY23</v>
      </c>
      <c r="H99" s="917" t="str">
        <f t="shared" si="66"/>
        <v>FY24</v>
      </c>
      <c r="I99" s="917" t="str">
        <f t="shared" si="66"/>
        <v>FY25</v>
      </c>
      <c r="J99" s="917" t="str">
        <f t="shared" ref="J99" si="67">J26</f>
        <v>FY26</v>
      </c>
      <c r="K99" s="375"/>
      <c r="M99" s="1515"/>
      <c r="AC99" s="1021" t="str">
        <f>A99</f>
        <v>Summary of State Foundation Revenues</v>
      </c>
      <c r="AD99" s="1017" t="str">
        <f t="shared" ref="AD99:AH103" si="68">F99</f>
        <v>FY22</v>
      </c>
      <c r="AE99" s="1017" t="str">
        <f t="shared" si="68"/>
        <v>FY23</v>
      </c>
      <c r="AF99" s="1017" t="str">
        <f t="shared" si="68"/>
        <v>FY24</v>
      </c>
      <c r="AG99" s="1017" t="str">
        <f t="shared" si="68"/>
        <v>FY25</v>
      </c>
      <c r="AH99" s="1017" t="str">
        <f t="shared" si="68"/>
        <v>FY26</v>
      </c>
    </row>
    <row r="100" spans="1:35">
      <c r="A100" s="791" t="s">
        <v>183</v>
      </c>
      <c r="B100" s="792"/>
      <c r="C100" s="376">
        <v>18345073.989999998</v>
      </c>
      <c r="D100" s="376">
        <f t="shared" ref="D100:G100" si="69">D80</f>
        <v>17717074</v>
      </c>
      <c r="E100" s="376">
        <f t="shared" si="69"/>
        <v>17960616</v>
      </c>
      <c r="F100" s="376">
        <f t="shared" si="69"/>
        <v>16134504</v>
      </c>
      <c r="G100" s="376">
        <f t="shared" si="69"/>
        <v>17007583</v>
      </c>
      <c r="H100" s="376">
        <f t="shared" ref="H100:I100" si="70">H80</f>
        <v>17010834</v>
      </c>
      <c r="I100" s="376">
        <f t="shared" si="70"/>
        <v>17014139</v>
      </c>
      <c r="J100" s="376">
        <f t="shared" ref="J100" si="71">J80</f>
        <v>17017523</v>
      </c>
      <c r="K100" s="376"/>
      <c r="M100" s="434"/>
      <c r="N100" s="434"/>
      <c r="AC100" s="1010" t="str">
        <f>A100</f>
        <v>Unrestricted Line # 1.035</v>
      </c>
      <c r="AD100" s="1012">
        <f t="shared" si="68"/>
        <v>16134504</v>
      </c>
      <c r="AE100" s="1012">
        <f t="shared" si="68"/>
        <v>17007583</v>
      </c>
      <c r="AF100" s="1012">
        <f t="shared" si="68"/>
        <v>17010834</v>
      </c>
      <c r="AG100" s="1012">
        <f t="shared" si="68"/>
        <v>17014139</v>
      </c>
      <c r="AH100" s="1012">
        <f t="shared" si="68"/>
        <v>17017523</v>
      </c>
    </row>
    <row r="101" spans="1:35">
      <c r="A101" s="791" t="s">
        <v>184</v>
      </c>
      <c r="B101" s="795"/>
      <c r="C101" s="891">
        <v>1503596.78</v>
      </c>
      <c r="D101" s="891">
        <f t="shared" ref="D101:I101" si="72">D89</f>
        <v>1545374.5400000005</v>
      </c>
      <c r="E101" s="891">
        <f t="shared" si="72"/>
        <v>1545371</v>
      </c>
      <c r="F101" s="891">
        <f t="shared" si="72"/>
        <v>1545371</v>
      </c>
      <c r="G101" s="891">
        <f t="shared" si="72"/>
        <v>1545371</v>
      </c>
      <c r="H101" s="891">
        <f t="shared" si="72"/>
        <v>1545371</v>
      </c>
      <c r="I101" s="891">
        <f t="shared" si="72"/>
        <v>1545371</v>
      </c>
      <c r="J101" s="891">
        <f t="shared" ref="J101" si="73">J89</f>
        <v>1545371</v>
      </c>
      <c r="K101" s="376"/>
      <c r="M101" s="1003"/>
      <c r="N101" s="434"/>
      <c r="AC101" s="1010" t="str">
        <f>A101</f>
        <v>Restricted Line # 1.040</v>
      </c>
      <c r="AD101" s="1014">
        <f t="shared" si="68"/>
        <v>1545371</v>
      </c>
      <c r="AE101" s="1014">
        <f t="shared" si="68"/>
        <v>1545371</v>
      </c>
      <c r="AF101" s="1014">
        <f t="shared" si="68"/>
        <v>1545371</v>
      </c>
      <c r="AG101" s="1014">
        <f t="shared" si="68"/>
        <v>1545371</v>
      </c>
      <c r="AH101" s="1014">
        <f t="shared" si="68"/>
        <v>1545371</v>
      </c>
    </row>
    <row r="102" spans="1:35">
      <c r="A102" s="791" t="s">
        <v>420</v>
      </c>
      <c r="B102" s="795"/>
      <c r="C102" s="890">
        <v>0</v>
      </c>
      <c r="D102" s="890">
        <f t="shared" ref="D102:G102" si="74">D95</f>
        <v>0</v>
      </c>
      <c r="E102" s="890">
        <f t="shared" si="74"/>
        <v>0</v>
      </c>
      <c r="F102" s="890">
        <f t="shared" si="74"/>
        <v>0</v>
      </c>
      <c r="G102" s="890">
        <f t="shared" si="74"/>
        <v>0</v>
      </c>
      <c r="H102" s="890">
        <f t="shared" ref="H102:I102" si="75">H95</f>
        <v>0</v>
      </c>
      <c r="I102" s="890">
        <f t="shared" si="75"/>
        <v>0</v>
      </c>
      <c r="J102" s="890">
        <f t="shared" ref="J102" si="76">J95</f>
        <v>0</v>
      </c>
      <c r="K102" s="376"/>
      <c r="M102" s="1563"/>
      <c r="N102" s="434"/>
      <c r="AC102" s="1010" t="str">
        <f>A102</f>
        <v>Rest. Fed. Grants - SFSF &amp; Ed Jobs Line #1.045</v>
      </c>
      <c r="AD102" s="1015">
        <f t="shared" si="68"/>
        <v>0</v>
      </c>
      <c r="AE102" s="1015">
        <f t="shared" si="68"/>
        <v>0</v>
      </c>
      <c r="AF102" s="1015">
        <f t="shared" si="68"/>
        <v>0</v>
      </c>
      <c r="AG102" s="1015">
        <f t="shared" si="68"/>
        <v>0</v>
      </c>
      <c r="AH102" s="1015">
        <f t="shared" si="68"/>
        <v>0</v>
      </c>
    </row>
    <row r="103" spans="1:35" ht="15.6">
      <c r="A103" s="789" t="s">
        <v>182</v>
      </c>
      <c r="B103" s="793"/>
      <c r="C103" s="377">
        <v>19848670.77</v>
      </c>
      <c r="D103" s="377">
        <f t="shared" ref="D103" si="77">SUM(D100:D102)</f>
        <v>19262448.539999999</v>
      </c>
      <c r="E103" s="377">
        <f>ROUND(SUM(E100:E102),0)</f>
        <v>19505987</v>
      </c>
      <c r="F103" s="377">
        <f t="shared" ref="F103:I103" si="78">ROUND(SUM(F100:F102),0)</f>
        <v>17679875</v>
      </c>
      <c r="G103" s="377">
        <f t="shared" si="78"/>
        <v>18552954</v>
      </c>
      <c r="H103" s="377">
        <f t="shared" si="78"/>
        <v>18556205</v>
      </c>
      <c r="I103" s="377">
        <f t="shared" si="78"/>
        <v>18559510</v>
      </c>
      <c r="J103" s="377">
        <f t="shared" ref="J103" si="79">ROUND(SUM(J100:J102),0)</f>
        <v>18562894</v>
      </c>
      <c r="K103" s="1525"/>
      <c r="M103" s="403"/>
      <c r="N103" s="434"/>
      <c r="AC103" s="1372" t="str">
        <f>A103</f>
        <v xml:space="preserve">Total State Foundation Revenue </v>
      </c>
      <c r="AD103" s="1373">
        <f t="shared" si="68"/>
        <v>17679875</v>
      </c>
      <c r="AE103" s="1373">
        <f t="shared" si="68"/>
        <v>18552954</v>
      </c>
      <c r="AF103" s="1373">
        <f t="shared" si="68"/>
        <v>18556205</v>
      </c>
      <c r="AG103" s="1373">
        <f t="shared" si="68"/>
        <v>18559510</v>
      </c>
      <c r="AH103" s="1373">
        <f t="shared" si="68"/>
        <v>18562894</v>
      </c>
    </row>
    <row r="104" spans="1:35" ht="16.2" thickBot="1">
      <c r="A104" s="1426" t="s">
        <v>1036</v>
      </c>
      <c r="B104" s="1427"/>
      <c r="C104" s="1428">
        <v>3.7650844674553534E-2</v>
      </c>
      <c r="D104" s="1428">
        <f t="shared" ref="D104:J104" si="80">IFERROR((D103-C103)/C103,0)</f>
        <v>-2.9534583791174469E-2</v>
      </c>
      <c r="E104" s="1428">
        <f t="shared" si="80"/>
        <v>1.2643172517464434E-2</v>
      </c>
      <c r="F104" s="1428">
        <f t="shared" si="80"/>
        <v>-9.3618026096295465E-2</v>
      </c>
      <c r="G104" s="1428">
        <f t="shared" si="80"/>
        <v>4.9382645522097868E-2</v>
      </c>
      <c r="H104" s="1428">
        <f t="shared" si="80"/>
        <v>1.7522816043202607E-4</v>
      </c>
      <c r="I104" s="1428">
        <f t="shared" si="80"/>
        <v>1.7810753869123563E-4</v>
      </c>
      <c r="J104" s="1428">
        <f t="shared" si="80"/>
        <v>1.8233239993943807E-4</v>
      </c>
      <c r="K104" s="1486"/>
      <c r="AC104" s="1010"/>
      <c r="AD104" s="1016"/>
      <c r="AE104" s="1016"/>
      <c r="AF104" s="1016"/>
      <c r="AG104" s="1016"/>
      <c r="AH104" s="1016"/>
    </row>
    <row r="105" spans="1:35">
      <c r="A105" s="750"/>
      <c r="B105" s="750"/>
      <c r="C105" s="325"/>
      <c r="D105" s="319"/>
      <c r="E105" s="319"/>
      <c r="F105" s="319"/>
      <c r="G105" s="319"/>
      <c r="H105" s="319"/>
      <c r="I105" s="319"/>
      <c r="J105" s="319"/>
      <c r="K105" s="319"/>
      <c r="AC105" s="1010"/>
      <c r="AD105" s="1012"/>
      <c r="AE105" s="1012"/>
      <c r="AF105" s="1012"/>
      <c r="AG105" s="1012"/>
      <c r="AH105" s="1012"/>
    </row>
    <row r="106" spans="1:35" s="319" customFormat="1" ht="15.6">
      <c r="A106" s="1367"/>
      <c r="B106" s="1368"/>
      <c r="C106" s="1369"/>
      <c r="D106" s="1369"/>
      <c r="E106" s="1369"/>
      <c r="F106" s="1369"/>
      <c r="G106" s="1369"/>
      <c r="H106" s="1369"/>
      <c r="I106" s="1369"/>
      <c r="J106" s="1369"/>
      <c r="K106" s="1369"/>
      <c r="L106" s="352"/>
      <c r="M106" s="352"/>
      <c r="N106" s="352"/>
      <c r="O106" s="352"/>
      <c r="P106" s="352"/>
      <c r="Q106" s="352"/>
      <c r="R106" s="352"/>
      <c r="S106" s="352"/>
      <c r="T106" s="352"/>
      <c r="U106" s="352"/>
      <c r="V106" s="352"/>
      <c r="W106" s="352"/>
      <c r="AC106" s="1010"/>
      <c r="AD106" s="1012"/>
      <c r="AE106" s="1012"/>
      <c r="AF106" s="1012"/>
      <c r="AG106" s="1012"/>
      <c r="AH106" s="1012"/>
      <c r="AI106" s="352"/>
    </row>
    <row r="107" spans="1:35" ht="15" customHeight="1">
      <c r="A107" s="860" t="s">
        <v>397</v>
      </c>
      <c r="B107" s="779"/>
      <c r="C107" s="362"/>
      <c r="D107" s="737"/>
      <c r="E107" s="477"/>
      <c r="F107" s="580"/>
      <c r="G107" s="656"/>
      <c r="H107" s="665"/>
      <c r="I107" s="709"/>
      <c r="J107" s="737"/>
      <c r="K107" s="363"/>
      <c r="L107" s="1514"/>
      <c r="AC107" s="1010"/>
      <c r="AD107" s="1012"/>
      <c r="AE107" s="1012"/>
      <c r="AF107" s="1012"/>
      <c r="AG107" s="1012"/>
      <c r="AH107" s="1012"/>
    </row>
    <row r="108" spans="1:35">
      <c r="A108" s="780"/>
      <c r="B108" s="781"/>
      <c r="C108" s="363"/>
      <c r="D108" s="363"/>
      <c r="E108" s="363"/>
      <c r="F108" s="363"/>
      <c r="G108" s="363"/>
      <c r="H108" s="363"/>
      <c r="I108" s="363"/>
      <c r="J108" s="363"/>
      <c r="K108" s="363"/>
      <c r="AC108" s="1010"/>
      <c r="AD108" s="1012"/>
      <c r="AE108" s="1012"/>
      <c r="AF108" s="1012"/>
      <c r="AG108" s="1012"/>
      <c r="AH108" s="1012"/>
    </row>
    <row r="109" spans="1:35" ht="25.5" customHeight="1">
      <c r="A109" s="369" t="s">
        <v>260</v>
      </c>
      <c r="B109" s="781"/>
      <c r="C109" s="363"/>
      <c r="D109" s="363"/>
      <c r="E109" s="955"/>
      <c r="F109" s="363"/>
      <c r="G109" s="363"/>
      <c r="H109" s="363"/>
      <c r="I109" s="363"/>
      <c r="J109" s="363"/>
      <c r="K109" s="363"/>
      <c r="AC109" s="1010"/>
      <c r="AD109" s="1012"/>
      <c r="AE109" s="1012"/>
      <c r="AF109" s="1012"/>
      <c r="AG109" s="1012"/>
      <c r="AH109" s="1012"/>
    </row>
    <row r="110" spans="1:35">
      <c r="A110" s="780" t="s">
        <v>250</v>
      </c>
      <c r="B110" s="781"/>
      <c r="C110" s="363"/>
      <c r="D110" s="363"/>
      <c r="E110" s="363"/>
      <c r="F110" s="363"/>
      <c r="G110" s="363"/>
      <c r="H110" s="363"/>
      <c r="I110" s="363"/>
      <c r="J110" s="363"/>
      <c r="K110" s="363"/>
      <c r="AC110" s="1010"/>
      <c r="AD110" s="1012"/>
      <c r="AE110" s="1012"/>
      <c r="AF110" s="1012"/>
      <c r="AG110" s="1012"/>
      <c r="AH110" s="1012"/>
    </row>
    <row r="111" spans="1:35">
      <c r="A111" s="369" t="s">
        <v>265</v>
      </c>
      <c r="B111" s="364"/>
      <c r="C111" s="918" t="s">
        <v>431</v>
      </c>
      <c r="D111" s="918" t="str">
        <f t="shared" ref="D111:I111" si="81">D26</f>
        <v>FY20</v>
      </c>
      <c r="E111" s="918" t="str">
        <f t="shared" si="81"/>
        <v>FY21</v>
      </c>
      <c r="F111" s="918" t="str">
        <f t="shared" si="81"/>
        <v>FY22</v>
      </c>
      <c r="G111" s="918" t="str">
        <f t="shared" si="81"/>
        <v>FY23</v>
      </c>
      <c r="H111" s="918" t="str">
        <f t="shared" si="81"/>
        <v>FY24</v>
      </c>
      <c r="I111" s="918" t="str">
        <f t="shared" si="81"/>
        <v>FY25</v>
      </c>
      <c r="J111" s="918" t="str">
        <f t="shared" ref="J111" si="82">J26</f>
        <v>FY26</v>
      </c>
      <c r="K111" s="364"/>
      <c r="M111" s="1515"/>
      <c r="AC111" s="1010"/>
      <c r="AD111" s="1012"/>
      <c r="AE111" s="1012"/>
      <c r="AF111" s="1012"/>
      <c r="AG111" s="1012"/>
      <c r="AH111" s="1012"/>
    </row>
    <row r="112" spans="1:35">
      <c r="A112" s="780" t="s">
        <v>303</v>
      </c>
      <c r="B112" s="782"/>
      <c r="C112" s="365">
        <v>1339529</v>
      </c>
      <c r="D112" s="365">
        <f>ROUND(Tax!G26,0)</f>
        <v>1333740</v>
      </c>
      <c r="E112" s="956">
        <f>ROUND(Tax!H26,0)</f>
        <v>1307856</v>
      </c>
      <c r="F112" s="956">
        <f>ROUND(Tax!I26,0)</f>
        <v>1275599</v>
      </c>
      <c r="G112" s="956">
        <f>ROUND(Tax!J26,0)</f>
        <v>1187975</v>
      </c>
      <c r="H112" s="956">
        <f>ROUND(Tax!K26,0)</f>
        <v>1113660</v>
      </c>
      <c r="I112" s="956">
        <f>ROUND(Tax!L26,0)</f>
        <v>1117921</v>
      </c>
      <c r="J112" s="956">
        <f>ROUND(Tax!M26,0)</f>
        <v>1121128</v>
      </c>
      <c r="K112" s="365"/>
      <c r="M112" s="434"/>
      <c r="N112" s="434"/>
      <c r="AC112" s="1010"/>
      <c r="AD112" s="1012"/>
      <c r="AE112" s="1012"/>
      <c r="AF112" s="1012"/>
      <c r="AG112" s="1012"/>
      <c r="AH112" s="1012"/>
    </row>
    <row r="113" spans="1:34">
      <c r="A113" s="780" t="s">
        <v>410</v>
      </c>
      <c r="B113" s="783"/>
      <c r="C113" s="366">
        <v>0</v>
      </c>
      <c r="D113" s="366">
        <v>0</v>
      </c>
      <c r="E113" s="957">
        <v>0</v>
      </c>
      <c r="F113" s="957">
        <v>0</v>
      </c>
      <c r="G113" s="957">
        <v>0</v>
      </c>
      <c r="H113" s="957">
        <v>0</v>
      </c>
      <c r="I113" s="957">
        <v>0</v>
      </c>
      <c r="J113" s="957">
        <v>0</v>
      </c>
      <c r="K113" s="366"/>
      <c r="M113" s="1003"/>
      <c r="N113" s="434"/>
      <c r="AC113" s="1010"/>
      <c r="AD113" s="1012"/>
      <c r="AE113" s="1012"/>
      <c r="AF113" s="1012"/>
      <c r="AG113" s="1012"/>
      <c r="AH113" s="1012"/>
    </row>
    <row r="114" spans="1:34" ht="15.6">
      <c r="A114" s="369" t="s">
        <v>177</v>
      </c>
      <c r="B114" s="784"/>
      <c r="C114" s="368">
        <v>1339529</v>
      </c>
      <c r="D114" s="368">
        <f t="shared" ref="D114" si="83">SUM(D112:D113)</f>
        <v>1333740</v>
      </c>
      <c r="E114" s="958">
        <f>ROUND(SUM(E112:E113),0)</f>
        <v>1307856</v>
      </c>
      <c r="F114" s="958">
        <f t="shared" ref="F114:I114" si="84">ROUND(SUM(F112:F113),0)</f>
        <v>1275599</v>
      </c>
      <c r="G114" s="958">
        <f t="shared" si="84"/>
        <v>1187975</v>
      </c>
      <c r="H114" s="958">
        <f t="shared" si="84"/>
        <v>1113660</v>
      </c>
      <c r="I114" s="958">
        <f t="shared" si="84"/>
        <v>1117921</v>
      </c>
      <c r="J114" s="958">
        <f t="shared" ref="J114" si="85">ROUND(SUM(J112:J113),0)</f>
        <v>1121128</v>
      </c>
      <c r="K114" s="368"/>
      <c r="M114" s="403"/>
      <c r="N114" s="434"/>
      <c r="AC114" s="1010"/>
      <c r="AD114" s="1012"/>
      <c r="AE114" s="1012"/>
      <c r="AF114" s="1012"/>
      <c r="AG114" s="1012"/>
      <c r="AH114" s="1012"/>
    </row>
    <row r="115" spans="1:34" ht="15.6">
      <c r="A115" s="369"/>
      <c r="B115" s="784"/>
      <c r="C115" s="363"/>
      <c r="D115" s="363"/>
      <c r="E115" s="955"/>
      <c r="F115" s="955"/>
      <c r="G115" s="955"/>
      <c r="H115" s="955"/>
      <c r="I115" s="955"/>
      <c r="J115" s="955"/>
      <c r="K115" s="363"/>
      <c r="AC115" s="1010"/>
      <c r="AD115" s="1012"/>
      <c r="AE115" s="1012"/>
      <c r="AF115" s="1012"/>
      <c r="AG115" s="1012"/>
      <c r="AH115" s="1012"/>
    </row>
    <row r="116" spans="1:34">
      <c r="A116" s="369" t="s">
        <v>230</v>
      </c>
      <c r="B116" s="781"/>
      <c r="C116" s="363"/>
      <c r="D116" s="363"/>
      <c r="E116" s="955"/>
      <c r="F116" s="955"/>
      <c r="G116" s="955"/>
      <c r="H116" s="955"/>
      <c r="I116" s="955"/>
      <c r="J116" s="955"/>
      <c r="K116" s="363"/>
      <c r="AC116" s="1010"/>
      <c r="AD116" s="1012"/>
      <c r="AE116" s="1012"/>
      <c r="AF116" s="1012"/>
      <c r="AG116" s="1012"/>
      <c r="AH116" s="1012"/>
    </row>
    <row r="117" spans="1:34">
      <c r="A117" s="780"/>
      <c r="B117" s="781"/>
      <c r="C117" s="363"/>
      <c r="D117" s="363"/>
      <c r="E117" s="955"/>
      <c r="F117" s="955"/>
      <c r="G117" s="955"/>
      <c r="H117" s="955"/>
      <c r="I117" s="955"/>
      <c r="J117" s="955"/>
      <c r="K117" s="363"/>
      <c r="AC117" s="1010"/>
      <c r="AD117" s="1012"/>
      <c r="AE117" s="1012"/>
      <c r="AF117" s="1012"/>
      <c r="AG117" s="1012"/>
      <c r="AH117" s="1012"/>
    </row>
    <row r="118" spans="1:34">
      <c r="A118" s="780" t="s">
        <v>229</v>
      </c>
      <c r="B118" s="781"/>
      <c r="C118" s="363"/>
      <c r="D118" s="363"/>
      <c r="E118" s="955"/>
      <c r="F118" s="955"/>
      <c r="G118" s="955"/>
      <c r="H118" s="955"/>
      <c r="I118" s="955"/>
      <c r="J118" s="955"/>
      <c r="K118" s="363"/>
      <c r="AC118" s="1010"/>
      <c r="AD118" s="1012"/>
      <c r="AE118" s="1012"/>
      <c r="AF118" s="1012"/>
      <c r="AG118" s="1012"/>
      <c r="AH118" s="1012"/>
    </row>
    <row r="119" spans="1:34">
      <c r="A119" s="780" t="s">
        <v>233</v>
      </c>
      <c r="B119" s="781"/>
      <c r="C119" s="363"/>
      <c r="D119" s="363"/>
      <c r="E119" s="955"/>
      <c r="F119" s="955"/>
      <c r="G119" s="955"/>
      <c r="H119" s="955"/>
      <c r="I119" s="955"/>
      <c r="J119" s="955"/>
      <c r="K119" s="363"/>
      <c r="AC119" s="1010"/>
      <c r="AD119" s="1012"/>
      <c r="AE119" s="1012"/>
      <c r="AF119" s="1012"/>
      <c r="AG119" s="1012"/>
      <c r="AH119" s="1012"/>
    </row>
    <row r="120" spans="1:34">
      <c r="A120" s="780"/>
      <c r="B120" s="781"/>
      <c r="C120" s="363"/>
      <c r="D120" s="363"/>
      <c r="E120" s="955"/>
      <c r="F120" s="955"/>
      <c r="G120" s="955"/>
      <c r="H120" s="955"/>
      <c r="I120" s="955"/>
      <c r="J120" s="955"/>
      <c r="K120" s="363"/>
      <c r="AC120" s="1010"/>
      <c r="AD120" s="1012"/>
      <c r="AE120" s="1012"/>
      <c r="AF120" s="1012"/>
      <c r="AG120" s="1012"/>
      <c r="AH120" s="1012"/>
    </row>
    <row r="121" spans="1:34">
      <c r="A121" s="369" t="s">
        <v>265</v>
      </c>
      <c r="B121" s="364"/>
      <c r="C121" s="918" t="s">
        <v>431</v>
      </c>
      <c r="D121" s="918" t="str">
        <f t="shared" ref="D121:I121" si="86">D26</f>
        <v>FY20</v>
      </c>
      <c r="E121" s="959" t="str">
        <f t="shared" si="86"/>
        <v>FY21</v>
      </c>
      <c r="F121" s="959" t="str">
        <f t="shared" si="86"/>
        <v>FY22</v>
      </c>
      <c r="G121" s="959" t="str">
        <f t="shared" si="86"/>
        <v>FY23</v>
      </c>
      <c r="H121" s="959" t="str">
        <f t="shared" si="86"/>
        <v>FY24</v>
      </c>
      <c r="I121" s="959" t="str">
        <f t="shared" si="86"/>
        <v>FY25</v>
      </c>
      <c r="J121" s="959" t="str">
        <f t="shared" ref="J121" si="87">J26</f>
        <v>FY26</v>
      </c>
      <c r="K121" s="364"/>
      <c r="M121" s="1515"/>
      <c r="AC121" s="1010"/>
      <c r="AD121" s="1012"/>
      <c r="AE121" s="1012"/>
      <c r="AF121" s="1012"/>
      <c r="AG121" s="1012"/>
      <c r="AH121" s="1012"/>
    </row>
    <row r="122" spans="1:34">
      <c r="A122" s="780" t="s">
        <v>11</v>
      </c>
      <c r="B122" s="782"/>
      <c r="C122" s="366">
        <v>1329067</v>
      </c>
      <c r="D122" s="366">
        <f>+Tax!G206</f>
        <v>1131540</v>
      </c>
      <c r="E122" s="366">
        <f>+Tax!H206</f>
        <v>934012</v>
      </c>
      <c r="F122" s="366">
        <f>+Tax!I206</f>
        <v>736485</v>
      </c>
      <c r="G122" s="366">
        <f>+Tax!J206</f>
        <v>538957</v>
      </c>
      <c r="H122" s="366">
        <f>+Tax!K206</f>
        <v>296536.13124999998</v>
      </c>
      <c r="I122" s="366">
        <f>+Tax!L206</f>
        <v>49851.204531249998</v>
      </c>
      <c r="J122" s="366">
        <f>+Tax!M206</f>
        <v>0</v>
      </c>
      <c r="K122" s="365"/>
      <c r="M122" s="1003"/>
      <c r="N122" s="434"/>
      <c r="AC122" s="1010"/>
      <c r="AD122" s="1012"/>
      <c r="AE122" s="1012"/>
      <c r="AF122" s="1012"/>
      <c r="AG122" s="1012"/>
      <c r="AH122" s="1012"/>
    </row>
    <row r="123" spans="1:34" ht="15.6">
      <c r="A123" s="369" t="s">
        <v>178</v>
      </c>
      <c r="B123" s="784"/>
      <c r="C123" s="368">
        <v>1329067</v>
      </c>
      <c r="D123" s="368">
        <f t="shared" ref="D123" si="88">D122</f>
        <v>1131540</v>
      </c>
      <c r="E123" s="960">
        <f>ROUND(E122,0)</f>
        <v>934012</v>
      </c>
      <c r="F123" s="960">
        <f t="shared" ref="F123:I123" si="89">ROUND(F122,0)</f>
        <v>736485</v>
      </c>
      <c r="G123" s="960">
        <f t="shared" si="89"/>
        <v>538957</v>
      </c>
      <c r="H123" s="960">
        <f t="shared" si="89"/>
        <v>296536</v>
      </c>
      <c r="I123" s="960">
        <f t="shared" si="89"/>
        <v>49851</v>
      </c>
      <c r="J123" s="960">
        <f t="shared" ref="J123" si="90">ROUND(J122,0)</f>
        <v>0</v>
      </c>
      <c r="K123" s="368"/>
      <c r="M123" s="1567"/>
      <c r="N123" s="434"/>
      <c r="AC123" s="1010"/>
      <c r="AD123" s="1012"/>
      <c r="AE123" s="1012"/>
      <c r="AF123" s="1012"/>
      <c r="AG123" s="1012"/>
      <c r="AH123" s="1012"/>
    </row>
    <row r="124" spans="1:34" ht="15.6">
      <c r="A124" s="369"/>
      <c r="B124" s="784"/>
      <c r="C124" s="363"/>
      <c r="D124" s="363"/>
      <c r="E124" s="955"/>
      <c r="F124" s="955"/>
      <c r="G124" s="955"/>
      <c r="H124" s="955"/>
      <c r="I124" s="955"/>
      <c r="J124" s="955"/>
      <c r="K124" s="363"/>
      <c r="AC124" s="1010"/>
      <c r="AD124" s="1012"/>
      <c r="AE124" s="1012"/>
      <c r="AF124" s="1012"/>
      <c r="AG124" s="1012"/>
      <c r="AH124" s="1012"/>
    </row>
    <row r="125" spans="1:34" ht="15.6">
      <c r="A125" s="369"/>
      <c r="B125" s="784"/>
      <c r="C125" s="363"/>
      <c r="D125" s="363"/>
      <c r="E125" s="955"/>
      <c r="F125" s="955"/>
      <c r="G125" s="955"/>
      <c r="H125" s="955"/>
      <c r="I125" s="955"/>
      <c r="J125" s="955"/>
      <c r="K125" s="363"/>
      <c r="AC125" s="1010"/>
      <c r="AD125" s="1012"/>
      <c r="AE125" s="1012"/>
      <c r="AF125" s="1012"/>
      <c r="AG125" s="1012"/>
      <c r="AH125" s="1012"/>
    </row>
    <row r="126" spans="1:34" ht="15.6">
      <c r="A126" s="369" t="s">
        <v>243</v>
      </c>
      <c r="B126" s="784"/>
      <c r="C126" s="363"/>
      <c r="D126" s="363"/>
      <c r="E126" s="955"/>
      <c r="F126" s="955"/>
      <c r="G126" s="955"/>
      <c r="H126" s="955"/>
      <c r="I126" s="955"/>
      <c r="J126" s="955"/>
      <c r="K126" s="363"/>
      <c r="AC126" s="1010"/>
      <c r="AD126" s="1012"/>
      <c r="AE126" s="1012"/>
      <c r="AF126" s="1012"/>
      <c r="AG126" s="1012"/>
      <c r="AH126" s="1012"/>
    </row>
    <row r="127" spans="1:34" ht="15.6">
      <c r="A127" s="369"/>
      <c r="B127" s="784"/>
      <c r="C127" s="363"/>
      <c r="D127" s="363"/>
      <c r="E127" s="955"/>
      <c r="F127" s="955"/>
      <c r="G127" s="955"/>
      <c r="H127" s="955"/>
      <c r="I127" s="955"/>
      <c r="J127" s="955"/>
      <c r="K127" s="363"/>
      <c r="AC127" s="1370"/>
      <c r="AD127" s="1371"/>
      <c r="AE127" s="1371"/>
      <c r="AF127" s="1371"/>
      <c r="AG127" s="1371"/>
      <c r="AH127" s="1371"/>
    </row>
    <row r="128" spans="1:34">
      <c r="A128" s="369" t="s">
        <v>265</v>
      </c>
      <c r="B128" s="364"/>
      <c r="C128" s="918" t="s">
        <v>431</v>
      </c>
      <c r="D128" s="918" t="str">
        <f t="shared" ref="D128:I128" si="91">+D140</f>
        <v>FY20</v>
      </c>
      <c r="E128" s="918" t="str">
        <f t="shared" si="91"/>
        <v>FY21</v>
      </c>
      <c r="F128" s="918" t="str">
        <f t="shared" si="91"/>
        <v>FY22</v>
      </c>
      <c r="G128" s="918" t="str">
        <f t="shared" si="91"/>
        <v>FY23</v>
      </c>
      <c r="H128" s="918" t="str">
        <f t="shared" si="91"/>
        <v>FY24</v>
      </c>
      <c r="I128" s="918" t="str">
        <f t="shared" si="91"/>
        <v>FY25</v>
      </c>
      <c r="J128" s="918" t="str">
        <f t="shared" ref="J128" si="92">+J140</f>
        <v>FY26</v>
      </c>
      <c r="K128" s="363"/>
      <c r="M128" s="1515"/>
      <c r="AC128" s="1029" t="str">
        <f>A128</f>
        <v>Source</v>
      </c>
      <c r="AD128" s="1017" t="str">
        <f t="shared" ref="AD128:AH132" si="93">F128</f>
        <v>FY22</v>
      </c>
      <c r="AE128" s="1017" t="str">
        <f t="shared" si="93"/>
        <v>FY23</v>
      </c>
      <c r="AF128" s="1017" t="str">
        <f t="shared" si="93"/>
        <v>FY24</v>
      </c>
      <c r="AG128" s="1017" t="str">
        <f t="shared" si="93"/>
        <v>FY25</v>
      </c>
      <c r="AH128" s="1017" t="str">
        <f t="shared" si="93"/>
        <v>FY26</v>
      </c>
    </row>
    <row r="129" spans="1:35">
      <c r="A129" s="780" t="s">
        <v>1005</v>
      </c>
      <c r="B129" s="782"/>
      <c r="C129" s="365">
        <v>1339529</v>
      </c>
      <c r="D129" s="365">
        <f t="shared" ref="D129:I129" si="94">D114</f>
        <v>1333740</v>
      </c>
      <c r="E129" s="956">
        <f t="shared" si="94"/>
        <v>1307856</v>
      </c>
      <c r="F129" s="956">
        <f t="shared" si="94"/>
        <v>1275599</v>
      </c>
      <c r="G129" s="956">
        <f t="shared" si="94"/>
        <v>1187975</v>
      </c>
      <c r="H129" s="956">
        <f t="shared" si="94"/>
        <v>1113660</v>
      </c>
      <c r="I129" s="956">
        <f t="shared" si="94"/>
        <v>1117921</v>
      </c>
      <c r="J129" s="956">
        <f t="shared" ref="J129" si="95">J114</f>
        <v>1121128</v>
      </c>
      <c r="K129" s="363"/>
      <c r="M129" s="434"/>
      <c r="N129" s="434"/>
      <c r="AC129" s="1010" t="str">
        <f>A129</f>
        <v>a) Rollback and Homestead</v>
      </c>
      <c r="AD129" s="1012">
        <f t="shared" si="93"/>
        <v>1275599</v>
      </c>
      <c r="AE129" s="1012">
        <f t="shared" si="93"/>
        <v>1187975</v>
      </c>
      <c r="AF129" s="1012">
        <f t="shared" si="93"/>
        <v>1113660</v>
      </c>
      <c r="AG129" s="1012">
        <f t="shared" si="93"/>
        <v>1117921</v>
      </c>
      <c r="AH129" s="1012">
        <f t="shared" si="93"/>
        <v>1121128</v>
      </c>
    </row>
    <row r="130" spans="1:35">
      <c r="A130" s="780" t="s">
        <v>449</v>
      </c>
      <c r="B130" s="783"/>
      <c r="C130" s="366">
        <v>1329067</v>
      </c>
      <c r="D130" s="366">
        <f t="shared" ref="D130:I130" si="96">D123</f>
        <v>1131540</v>
      </c>
      <c r="E130" s="957">
        <f t="shared" si="96"/>
        <v>934012</v>
      </c>
      <c r="F130" s="957">
        <f t="shared" si="96"/>
        <v>736485</v>
      </c>
      <c r="G130" s="957">
        <f t="shared" si="96"/>
        <v>538957</v>
      </c>
      <c r="H130" s="957">
        <f t="shared" si="96"/>
        <v>296536</v>
      </c>
      <c r="I130" s="957">
        <f t="shared" si="96"/>
        <v>49851</v>
      </c>
      <c r="J130" s="957">
        <f t="shared" ref="J130" si="97">J123</f>
        <v>0</v>
      </c>
      <c r="K130" s="366"/>
      <c r="M130" s="1003"/>
      <c r="N130" s="434"/>
      <c r="AC130" s="1010" t="str">
        <f>A130</f>
        <v>b) TPP Reimbursement - Fixed Rate</v>
      </c>
      <c r="AD130" s="1014">
        <f t="shared" si="93"/>
        <v>736485</v>
      </c>
      <c r="AE130" s="1014">
        <f t="shared" si="93"/>
        <v>538957</v>
      </c>
      <c r="AF130" s="1014">
        <f t="shared" si="93"/>
        <v>296536</v>
      </c>
      <c r="AG130" s="1014">
        <f t="shared" si="93"/>
        <v>49851</v>
      </c>
      <c r="AH130" s="1014">
        <f t="shared" si="93"/>
        <v>0</v>
      </c>
    </row>
    <row r="131" spans="1:35" ht="15.6">
      <c r="A131" s="780" t="s">
        <v>450</v>
      </c>
      <c r="B131" s="785"/>
      <c r="C131" s="370">
        <v>0</v>
      </c>
      <c r="D131" s="370">
        <v>0</v>
      </c>
      <c r="E131" s="370">
        <v>0</v>
      </c>
      <c r="F131" s="370">
        <v>0</v>
      </c>
      <c r="G131" s="370">
        <v>0</v>
      </c>
      <c r="H131" s="370">
        <v>0</v>
      </c>
      <c r="I131" s="370">
        <v>0</v>
      </c>
      <c r="J131" s="370">
        <v>0</v>
      </c>
      <c r="K131" s="370"/>
      <c r="M131" s="1568"/>
      <c r="N131" s="434"/>
      <c r="AC131" s="1010" t="str">
        <f>A131</f>
        <v>c) TPP Reimbursement - Fixed Sum</v>
      </c>
      <c r="AD131" s="1015">
        <f t="shared" si="93"/>
        <v>0</v>
      </c>
      <c r="AE131" s="1015">
        <f t="shared" si="93"/>
        <v>0</v>
      </c>
      <c r="AF131" s="1015">
        <f t="shared" si="93"/>
        <v>0</v>
      </c>
      <c r="AG131" s="1015">
        <f t="shared" si="93"/>
        <v>0</v>
      </c>
      <c r="AH131" s="1015">
        <f t="shared" si="93"/>
        <v>0</v>
      </c>
    </row>
    <row r="132" spans="1:35" ht="15.6">
      <c r="A132" s="1425" t="s">
        <v>1004</v>
      </c>
      <c r="B132" s="1421"/>
      <c r="C132" s="368">
        <v>2668596</v>
      </c>
      <c r="D132" s="368">
        <f t="shared" ref="D132" si="98">SUM(D129:D131)</f>
        <v>2465280</v>
      </c>
      <c r="E132" s="368">
        <f>ROUND(SUM(E129:E131),0)</f>
        <v>2241868</v>
      </c>
      <c r="F132" s="368">
        <f t="shared" ref="F132:I132" si="99">ROUND(SUM(F129:F131),0)</f>
        <v>2012084</v>
      </c>
      <c r="G132" s="368">
        <f t="shared" si="99"/>
        <v>1726932</v>
      </c>
      <c r="H132" s="368">
        <f t="shared" si="99"/>
        <v>1410196</v>
      </c>
      <c r="I132" s="368">
        <f t="shared" si="99"/>
        <v>1167772</v>
      </c>
      <c r="J132" s="368">
        <f t="shared" ref="J132" si="100">ROUND(SUM(J129:J131),0)</f>
        <v>1121128</v>
      </c>
      <c r="K132" s="370"/>
      <c r="M132" s="403"/>
      <c r="N132" s="434"/>
      <c r="AC132" s="1372" t="str">
        <f>A132</f>
        <v>Total Property Tax Allocations  #1.050</v>
      </c>
      <c r="AD132" s="1373">
        <f t="shared" si="93"/>
        <v>2012084</v>
      </c>
      <c r="AE132" s="1373">
        <f t="shared" si="93"/>
        <v>1726932</v>
      </c>
      <c r="AF132" s="1373">
        <f t="shared" si="93"/>
        <v>1410196</v>
      </c>
      <c r="AG132" s="1373">
        <f t="shared" si="93"/>
        <v>1167772</v>
      </c>
      <c r="AH132" s="1373">
        <f t="shared" si="93"/>
        <v>1121128</v>
      </c>
    </row>
    <row r="133" spans="1:35" ht="16.2" thickBot="1">
      <c r="A133" s="1422" t="s">
        <v>1030</v>
      </c>
      <c r="B133" s="1423"/>
      <c r="C133" s="1424">
        <v>-7.3698460384981859E-2</v>
      </c>
      <c r="D133" s="1424">
        <f t="shared" ref="D133:J133" si="101">IFERROR((D132-C132)/C132,0)</f>
        <v>-7.6188377708727731E-2</v>
      </c>
      <c r="E133" s="1424">
        <f t="shared" si="101"/>
        <v>-9.0623377466251293E-2</v>
      </c>
      <c r="F133" s="1424">
        <f t="shared" si="101"/>
        <v>-0.10249666795725708</v>
      </c>
      <c r="G133" s="1424">
        <f t="shared" si="101"/>
        <v>-0.14171972939499544</v>
      </c>
      <c r="H133" s="1424">
        <f t="shared" si="101"/>
        <v>-0.18340965365167824</v>
      </c>
      <c r="I133" s="1424">
        <f t="shared" si="101"/>
        <v>-0.1719080184598453</v>
      </c>
      <c r="J133" s="1424">
        <f t="shared" si="101"/>
        <v>-3.9942728546325822E-2</v>
      </c>
      <c r="K133" s="1485"/>
      <c r="AC133" s="1010"/>
      <c r="AD133" s="1016"/>
      <c r="AE133" s="1016"/>
      <c r="AF133" s="1016"/>
      <c r="AG133" s="1016"/>
      <c r="AH133" s="1016"/>
    </row>
    <row r="134" spans="1:35">
      <c r="A134" s="786"/>
      <c r="B134" s="768"/>
      <c r="C134" s="659"/>
      <c r="D134" s="361"/>
      <c r="E134" s="361"/>
      <c r="F134" s="361"/>
      <c r="G134" s="361"/>
      <c r="H134" s="361"/>
      <c r="I134" s="361"/>
      <c r="J134" s="361"/>
      <c r="K134" s="361"/>
      <c r="AC134" s="1010"/>
      <c r="AD134" s="1012"/>
      <c r="AE134" s="1012"/>
      <c r="AF134" s="1012"/>
      <c r="AG134" s="1012"/>
      <c r="AH134" s="1012"/>
    </row>
    <row r="135" spans="1:35" s="319" customFormat="1" ht="15.6">
      <c r="A135" s="1367"/>
      <c r="B135" s="1368"/>
      <c r="C135" s="1369"/>
      <c r="D135" s="1369"/>
      <c r="E135" s="1369"/>
      <c r="F135" s="1369"/>
      <c r="G135" s="1369"/>
      <c r="H135" s="1369"/>
      <c r="I135" s="1369"/>
      <c r="J135" s="1369"/>
      <c r="K135" s="1369"/>
      <c r="L135" s="352"/>
      <c r="M135" s="352"/>
      <c r="N135" s="352"/>
      <c r="O135" s="352"/>
      <c r="P135" s="352"/>
      <c r="Q135" s="352"/>
      <c r="R135" s="352"/>
      <c r="S135" s="352"/>
      <c r="T135" s="352"/>
      <c r="U135" s="352"/>
      <c r="V135" s="352"/>
      <c r="W135" s="352"/>
      <c r="AC135" s="1010"/>
      <c r="AD135" s="1012"/>
      <c r="AE135" s="1012"/>
      <c r="AF135" s="1012"/>
      <c r="AG135" s="1012"/>
      <c r="AH135" s="1012"/>
      <c r="AI135" s="352"/>
    </row>
    <row r="136" spans="1:35" s="319" customFormat="1" ht="15" customHeight="1">
      <c r="A136" s="877" t="s">
        <v>1026</v>
      </c>
      <c r="B136" s="878"/>
      <c r="C136" s="879"/>
      <c r="D136" s="879"/>
      <c r="E136" s="879"/>
      <c r="F136" s="879"/>
      <c r="G136" s="879"/>
      <c r="H136" s="879"/>
      <c r="I136" s="879"/>
      <c r="J136" s="879"/>
      <c r="K136" s="1526"/>
      <c r="L136" s="352"/>
      <c r="M136" s="352"/>
      <c r="N136" s="352"/>
      <c r="O136" s="352"/>
      <c r="P136" s="352"/>
      <c r="Q136" s="352"/>
      <c r="R136" s="352"/>
      <c r="S136" s="352"/>
      <c r="T136" s="352"/>
      <c r="U136" s="352"/>
      <c r="V136" s="352"/>
      <c r="W136" s="352"/>
      <c r="AC136" s="1010"/>
      <c r="AD136" s="1012"/>
      <c r="AE136" s="1012"/>
      <c r="AF136" s="1012"/>
      <c r="AG136" s="1012"/>
      <c r="AH136" s="1012"/>
      <c r="AI136" s="352"/>
    </row>
    <row r="137" spans="1:35" s="319" customFormat="1" ht="25.5" customHeight="1">
      <c r="A137" s="880"/>
      <c r="B137" s="881"/>
      <c r="C137" s="879"/>
      <c r="D137" s="879"/>
      <c r="E137" s="879"/>
      <c r="F137" s="879"/>
      <c r="G137" s="879"/>
      <c r="H137" s="879"/>
      <c r="I137" s="879"/>
      <c r="J137" s="879"/>
      <c r="K137" s="1526"/>
      <c r="L137" s="352"/>
      <c r="M137" s="1006"/>
      <c r="N137" s="352"/>
      <c r="O137" s="352"/>
      <c r="P137" s="352"/>
      <c r="Q137" s="352"/>
      <c r="R137" s="352"/>
      <c r="S137" s="352"/>
      <c r="T137" s="352"/>
      <c r="U137" s="352"/>
      <c r="V137" s="352"/>
      <c r="W137" s="352"/>
      <c r="AC137" s="1010"/>
      <c r="AD137" s="1012"/>
      <c r="AE137" s="1012"/>
      <c r="AF137" s="1012"/>
      <c r="AG137" s="1012"/>
      <c r="AH137" s="1012"/>
      <c r="AI137" s="352"/>
    </row>
    <row r="138" spans="1:35" s="319" customFormat="1" ht="15" customHeight="1">
      <c r="A138" s="880"/>
      <c r="B138" s="881"/>
      <c r="C138" s="879"/>
      <c r="D138" s="879"/>
      <c r="E138" s="1556"/>
      <c r="F138" s="879"/>
      <c r="G138" s="879"/>
      <c r="H138" s="879"/>
      <c r="I138" s="879"/>
      <c r="J138" s="879"/>
      <c r="K138" s="1526"/>
      <c r="L138" s="352"/>
      <c r="M138" s="1006"/>
      <c r="N138" s="352"/>
      <c r="Q138" s="352"/>
      <c r="R138" s="352"/>
      <c r="S138" s="352"/>
      <c r="T138" s="352"/>
      <c r="U138" s="352"/>
      <c r="V138" s="352"/>
      <c r="W138" s="352"/>
      <c r="AC138" s="1010"/>
      <c r="AD138" s="1012"/>
      <c r="AE138" s="1012"/>
      <c r="AF138" s="1012"/>
      <c r="AG138" s="1012"/>
      <c r="AH138" s="1012"/>
      <c r="AI138" s="352"/>
    </row>
    <row r="139" spans="1:35" s="319" customFormat="1" ht="15" customHeight="1">
      <c r="A139" s="882"/>
      <c r="B139" s="881"/>
      <c r="C139" s="879"/>
      <c r="D139" s="879"/>
      <c r="E139" s="879"/>
      <c r="F139" s="879"/>
      <c r="G139" s="879"/>
      <c r="H139" s="879"/>
      <c r="I139" s="879"/>
      <c r="J139" s="879"/>
      <c r="K139" s="1526"/>
      <c r="L139" s="352"/>
      <c r="M139" s="352"/>
      <c r="N139" s="352"/>
      <c r="O139" s="352"/>
      <c r="P139" s="352"/>
      <c r="Q139" s="352"/>
      <c r="R139" s="352"/>
      <c r="S139" s="352"/>
      <c r="T139" s="352"/>
      <c r="U139" s="352"/>
      <c r="V139" s="352"/>
      <c r="W139" s="352"/>
      <c r="AC139" s="1370"/>
      <c r="AD139" s="1371"/>
      <c r="AE139" s="1371"/>
      <c r="AF139" s="1371"/>
      <c r="AG139" s="1371"/>
      <c r="AH139" s="1371"/>
      <c r="AI139" s="352"/>
    </row>
    <row r="140" spans="1:35" s="319" customFormat="1">
      <c r="A140" s="880" t="s">
        <v>265</v>
      </c>
      <c r="B140" s="883"/>
      <c r="C140" s="919" t="s">
        <v>431</v>
      </c>
      <c r="D140" s="919" t="str">
        <f t="shared" ref="D140:I140" si="102">D26</f>
        <v>FY20</v>
      </c>
      <c r="E140" s="919" t="str">
        <f t="shared" si="102"/>
        <v>FY21</v>
      </c>
      <c r="F140" s="919" t="str">
        <f t="shared" si="102"/>
        <v>FY22</v>
      </c>
      <c r="G140" s="919" t="str">
        <f t="shared" si="102"/>
        <v>FY23</v>
      </c>
      <c r="H140" s="919" t="str">
        <f t="shared" si="102"/>
        <v>FY24</v>
      </c>
      <c r="I140" s="919" t="str">
        <f t="shared" si="102"/>
        <v>FY25</v>
      </c>
      <c r="J140" s="919" t="str">
        <f t="shared" ref="J140" si="103">J26</f>
        <v>FY26</v>
      </c>
      <c r="K140" s="1526"/>
      <c r="L140" s="352"/>
      <c r="M140" s="1515"/>
      <c r="N140" s="352"/>
      <c r="O140" s="1026"/>
      <c r="P140" s="1030"/>
      <c r="Q140" s="352"/>
      <c r="R140" s="352"/>
      <c r="S140" s="352"/>
      <c r="T140" s="352"/>
      <c r="U140" s="352"/>
      <c r="V140" s="352"/>
      <c r="W140" s="352"/>
      <c r="AC140" s="1029" t="str">
        <f t="shared" ref="AC140:AC150" si="104">A140</f>
        <v>Source</v>
      </c>
      <c r="AD140" s="1017" t="str">
        <f t="shared" ref="AD140:AD150" si="105">F140</f>
        <v>FY22</v>
      </c>
      <c r="AE140" s="1017" t="str">
        <f t="shared" ref="AE140:AE150" si="106">G140</f>
        <v>FY23</v>
      </c>
      <c r="AF140" s="1017" t="str">
        <f t="shared" ref="AF140:AF150" si="107">H140</f>
        <v>FY24</v>
      </c>
      <c r="AG140" s="1017" t="str">
        <f t="shared" ref="AG140:AG150" si="108">I140</f>
        <v>FY25</v>
      </c>
      <c r="AH140" s="1017" t="str">
        <f t="shared" ref="AH140:AH150" si="109">J140</f>
        <v>FY26</v>
      </c>
      <c r="AI140" s="352"/>
    </row>
    <row r="141" spans="1:35" s="319" customFormat="1">
      <c r="A141" s="882" t="s">
        <v>248</v>
      </c>
      <c r="B141" s="884"/>
      <c r="C141" s="904">
        <v>1101305.8700000001</v>
      </c>
      <c r="D141" s="904">
        <v>1056958</v>
      </c>
      <c r="E141" s="904">
        <v>1034081</v>
      </c>
      <c r="F141" s="360">
        <v>0</v>
      </c>
      <c r="G141" s="360">
        <f t="shared" ref="F141:J148" si="110">ROUND(F141*1,0)</f>
        <v>0</v>
      </c>
      <c r="H141" s="360">
        <f t="shared" si="110"/>
        <v>0</v>
      </c>
      <c r="I141" s="360">
        <f t="shared" si="110"/>
        <v>0</v>
      </c>
      <c r="J141" s="360">
        <f t="shared" si="110"/>
        <v>0</v>
      </c>
      <c r="K141" s="1526"/>
      <c r="L141" s="1514"/>
      <c r="M141" s="434"/>
      <c r="N141" s="434"/>
      <c r="O141" s="1026"/>
      <c r="P141" s="1030"/>
      <c r="Q141" s="352"/>
      <c r="R141" s="352"/>
      <c r="S141" s="352"/>
      <c r="T141" s="352"/>
      <c r="U141" s="352"/>
      <c r="V141" s="352"/>
      <c r="W141" s="352"/>
      <c r="AC141" s="1010" t="str">
        <f t="shared" si="104"/>
        <v>Open Enrollment Gross</v>
      </c>
      <c r="AD141" s="1012">
        <f t="shared" si="105"/>
        <v>0</v>
      </c>
      <c r="AE141" s="1012">
        <f t="shared" si="106"/>
        <v>0</v>
      </c>
      <c r="AF141" s="1012">
        <f t="shared" si="107"/>
        <v>0</v>
      </c>
      <c r="AG141" s="1012">
        <f t="shared" si="108"/>
        <v>0</v>
      </c>
      <c r="AH141" s="1012">
        <f t="shared" si="109"/>
        <v>0</v>
      </c>
      <c r="AI141" s="352"/>
    </row>
    <row r="142" spans="1:35" s="319" customFormat="1">
      <c r="A142" s="882" t="s">
        <v>1006</v>
      </c>
      <c r="B142" s="884"/>
      <c r="C142" s="885">
        <v>268441</v>
      </c>
      <c r="D142" s="885">
        <v>270488</v>
      </c>
      <c r="E142" s="885">
        <v>263131</v>
      </c>
      <c r="F142" s="1509">
        <f>+TIF!D16</f>
        <v>358292</v>
      </c>
      <c r="G142" s="1509">
        <f>+TIF!E16</f>
        <v>337250</v>
      </c>
      <c r="H142" s="1509">
        <f>+TIF!F16</f>
        <v>337250</v>
      </c>
      <c r="I142" s="1509">
        <f>+TIF!G16</f>
        <v>324751</v>
      </c>
      <c r="J142" s="1509">
        <f>+TIF!H16</f>
        <v>324751</v>
      </c>
      <c r="K142" s="1526"/>
      <c r="L142" s="352"/>
      <c r="M142" s="1003"/>
      <c r="N142" s="434"/>
      <c r="O142" s="1026"/>
      <c r="P142" s="1030"/>
      <c r="Q142" s="352"/>
      <c r="R142" s="352"/>
      <c r="S142" s="352"/>
      <c r="T142" s="352"/>
      <c r="U142" s="352"/>
      <c r="V142" s="352"/>
      <c r="W142" s="352"/>
      <c r="AC142" s="1010" t="str">
        <f t="shared" si="104"/>
        <v>TIF Payments</v>
      </c>
      <c r="AD142" s="1014">
        <f t="shared" si="105"/>
        <v>358292</v>
      </c>
      <c r="AE142" s="1014">
        <f t="shared" si="106"/>
        <v>337250</v>
      </c>
      <c r="AF142" s="1014">
        <f t="shared" si="107"/>
        <v>337250</v>
      </c>
      <c r="AG142" s="1014">
        <f t="shared" si="108"/>
        <v>324751</v>
      </c>
      <c r="AH142" s="1014">
        <f t="shared" si="109"/>
        <v>324751</v>
      </c>
      <c r="AI142" s="352"/>
    </row>
    <row r="143" spans="1:35" s="319" customFormat="1">
      <c r="A143" s="882" t="s">
        <v>942</v>
      </c>
      <c r="B143" s="884"/>
      <c r="C143" s="885">
        <v>218094</v>
      </c>
      <c r="D143" s="885">
        <v>267649</v>
      </c>
      <c r="E143" s="885">
        <v>299670</v>
      </c>
      <c r="F143" s="367">
        <f t="shared" si="110"/>
        <v>299670</v>
      </c>
      <c r="G143" s="367">
        <f t="shared" si="110"/>
        <v>299670</v>
      </c>
      <c r="H143" s="367">
        <f t="shared" si="110"/>
        <v>299670</v>
      </c>
      <c r="I143" s="367">
        <f t="shared" si="110"/>
        <v>299670</v>
      </c>
      <c r="J143" s="367">
        <f t="shared" si="110"/>
        <v>299670</v>
      </c>
      <c r="K143" s="1526"/>
      <c r="L143" s="352"/>
      <c r="M143" s="1003"/>
      <c r="N143" s="434"/>
      <c r="O143" s="1026"/>
      <c r="P143" s="1030"/>
      <c r="Q143" s="352"/>
      <c r="R143" s="352"/>
      <c r="S143" s="352"/>
      <c r="T143" s="352"/>
      <c r="U143" s="352"/>
      <c r="V143" s="352"/>
      <c r="W143" s="352"/>
      <c r="AC143" s="1010" t="str">
        <f t="shared" si="104"/>
        <v xml:space="preserve">Tuition - SF-14, SF-14H, Excess </v>
      </c>
      <c r="AD143" s="1014">
        <f t="shared" si="105"/>
        <v>299670</v>
      </c>
      <c r="AE143" s="1014">
        <f t="shared" si="106"/>
        <v>299670</v>
      </c>
      <c r="AF143" s="1014">
        <f t="shared" si="107"/>
        <v>299670</v>
      </c>
      <c r="AG143" s="1014">
        <f t="shared" si="108"/>
        <v>299670</v>
      </c>
      <c r="AH143" s="1014">
        <f t="shared" si="109"/>
        <v>299670</v>
      </c>
      <c r="AI143" s="352"/>
    </row>
    <row r="144" spans="1:35" s="319" customFormat="1">
      <c r="A144" s="882" t="s">
        <v>37</v>
      </c>
      <c r="B144" s="884"/>
      <c r="C144" s="885">
        <v>164259.88999999998</v>
      </c>
      <c r="D144" s="885">
        <v>223355</v>
      </c>
      <c r="E144" s="885">
        <v>163432</v>
      </c>
      <c r="F144" s="367">
        <f t="shared" ref="F144:J144" si="111">ROUND(E144*0.98,0)</f>
        <v>160163</v>
      </c>
      <c r="G144" s="367">
        <f t="shared" si="111"/>
        <v>156960</v>
      </c>
      <c r="H144" s="367">
        <f t="shared" si="111"/>
        <v>153821</v>
      </c>
      <c r="I144" s="367">
        <f t="shared" si="111"/>
        <v>150745</v>
      </c>
      <c r="J144" s="367">
        <f t="shared" si="111"/>
        <v>147730</v>
      </c>
      <c r="K144" s="1526"/>
      <c r="L144" s="352"/>
      <c r="M144" s="1003"/>
      <c r="N144" s="434"/>
      <c r="O144" s="1026"/>
      <c r="P144" s="1030"/>
      <c r="Q144" s="352"/>
      <c r="R144" s="352"/>
      <c r="S144" s="352"/>
      <c r="T144" s="352"/>
      <c r="U144" s="352"/>
      <c r="V144" s="352"/>
      <c r="W144" s="352"/>
      <c r="AC144" s="1010" t="str">
        <f t="shared" si="104"/>
        <v xml:space="preserve">Interest </v>
      </c>
      <c r="AD144" s="1014">
        <f t="shared" si="105"/>
        <v>160163</v>
      </c>
      <c r="AE144" s="1014">
        <f t="shared" si="106"/>
        <v>156960</v>
      </c>
      <c r="AF144" s="1014">
        <f t="shared" si="107"/>
        <v>153821</v>
      </c>
      <c r="AG144" s="1014">
        <f t="shared" si="108"/>
        <v>150745</v>
      </c>
      <c r="AH144" s="1014">
        <f t="shared" si="109"/>
        <v>147730</v>
      </c>
      <c r="AI144" s="352"/>
    </row>
    <row r="145" spans="1:35" s="319" customFormat="1">
      <c r="A145" s="882" t="s">
        <v>1069</v>
      </c>
      <c r="B145" s="884"/>
      <c r="C145" s="941">
        <v>40048.239999999874</v>
      </c>
      <c r="D145" s="941">
        <v>122828</v>
      </c>
      <c r="E145" s="941">
        <f>189886+25085</f>
        <v>214971</v>
      </c>
      <c r="F145" s="367">
        <v>127318</v>
      </c>
      <c r="G145" s="367">
        <f t="shared" ref="G145:J145" si="112">ROUND(F145*1.03,0)</f>
        <v>131138</v>
      </c>
      <c r="H145" s="367">
        <f t="shared" si="112"/>
        <v>135072</v>
      </c>
      <c r="I145" s="367">
        <f t="shared" si="112"/>
        <v>139124</v>
      </c>
      <c r="J145" s="367">
        <f t="shared" si="112"/>
        <v>143298</v>
      </c>
      <c r="K145" s="1526"/>
      <c r="L145" s="352"/>
      <c r="M145" s="1003"/>
      <c r="N145" s="434"/>
      <c r="O145" s="1026"/>
      <c r="P145" s="352"/>
      <c r="Q145" s="352"/>
      <c r="R145" s="352"/>
      <c r="S145" s="352"/>
      <c r="T145" s="352"/>
      <c r="U145" s="352"/>
      <c r="V145" s="352"/>
      <c r="W145" s="352"/>
      <c r="AC145" s="1010" t="str">
        <f t="shared" si="104"/>
        <v>Student Fees, Fines, Other Income</v>
      </c>
      <c r="AD145" s="1014">
        <f t="shared" si="105"/>
        <v>127318</v>
      </c>
      <c r="AE145" s="1014">
        <f t="shared" si="106"/>
        <v>131138</v>
      </c>
      <c r="AF145" s="1014">
        <f t="shared" si="107"/>
        <v>135072</v>
      </c>
      <c r="AG145" s="1014">
        <f t="shared" si="108"/>
        <v>139124</v>
      </c>
      <c r="AH145" s="1014">
        <f t="shared" si="109"/>
        <v>143298</v>
      </c>
      <c r="AI145" s="352"/>
    </row>
    <row r="146" spans="1:35" s="319" customFormat="1">
      <c r="A146" s="882" t="s">
        <v>945</v>
      </c>
      <c r="B146" s="884"/>
      <c r="C146" s="885">
        <v>52677</v>
      </c>
      <c r="D146" s="885">
        <v>72247</v>
      </c>
      <c r="E146" s="885">
        <v>108799</v>
      </c>
      <c r="F146" s="367">
        <f t="shared" ref="F146:J146" si="113">ROUND(E146*1.02,0)</f>
        <v>110975</v>
      </c>
      <c r="G146" s="367">
        <f t="shared" si="113"/>
        <v>113195</v>
      </c>
      <c r="H146" s="367">
        <f t="shared" si="113"/>
        <v>115459</v>
      </c>
      <c r="I146" s="367">
        <f t="shared" si="113"/>
        <v>117768</v>
      </c>
      <c r="J146" s="367">
        <f t="shared" si="113"/>
        <v>120123</v>
      </c>
      <c r="K146" s="1526"/>
      <c r="L146" s="352"/>
      <c r="M146" s="1003"/>
      <c r="N146" s="434"/>
      <c r="O146" s="1026"/>
      <c r="P146" s="352"/>
      <c r="Q146" s="352"/>
      <c r="R146" s="352"/>
      <c r="S146" s="352"/>
      <c r="T146" s="352"/>
      <c r="U146" s="352"/>
      <c r="V146" s="352"/>
      <c r="W146" s="352"/>
      <c r="AC146" s="1010" t="str">
        <f t="shared" si="104"/>
        <v>Medicaid Reimbursement</v>
      </c>
      <c r="AD146" s="1014">
        <f t="shared" si="105"/>
        <v>110975</v>
      </c>
      <c r="AE146" s="1014">
        <f t="shared" si="106"/>
        <v>113195</v>
      </c>
      <c r="AF146" s="1014">
        <f t="shared" si="107"/>
        <v>115459</v>
      </c>
      <c r="AG146" s="1014">
        <f t="shared" si="108"/>
        <v>117768</v>
      </c>
      <c r="AH146" s="1014">
        <f t="shared" si="109"/>
        <v>120123</v>
      </c>
      <c r="AI146" s="352"/>
    </row>
    <row r="147" spans="1:35" s="319" customFormat="1">
      <c r="A147" s="882" t="s">
        <v>996</v>
      </c>
      <c r="B147" s="884"/>
      <c r="C147" s="885">
        <v>0</v>
      </c>
      <c r="D147" s="885">
        <v>0</v>
      </c>
      <c r="E147" s="885">
        <v>0</v>
      </c>
      <c r="F147" s="367">
        <v>116315</v>
      </c>
      <c r="G147" s="367">
        <f>9000*12</f>
        <v>108000</v>
      </c>
      <c r="H147" s="367">
        <f t="shared" ref="H147:J147" si="114">9000*12</f>
        <v>108000</v>
      </c>
      <c r="I147" s="367">
        <f t="shared" si="114"/>
        <v>108000</v>
      </c>
      <c r="J147" s="367">
        <f t="shared" si="114"/>
        <v>108000</v>
      </c>
      <c r="K147" s="1526"/>
      <c r="L147" s="352"/>
      <c r="M147" s="1003"/>
      <c r="N147" s="434"/>
      <c r="O147" s="1026"/>
      <c r="P147" s="1030"/>
      <c r="Q147" s="352"/>
      <c r="R147" s="352"/>
      <c r="S147" s="352"/>
      <c r="T147" s="352"/>
      <c r="U147" s="352"/>
      <c r="V147" s="352"/>
      <c r="W147" s="352"/>
      <c r="AC147" s="1010" t="str">
        <f t="shared" si="104"/>
        <v>DayCare Rental</v>
      </c>
      <c r="AD147" s="1014">
        <f t="shared" si="105"/>
        <v>116315</v>
      </c>
      <c r="AE147" s="1014">
        <f t="shared" si="106"/>
        <v>108000</v>
      </c>
      <c r="AF147" s="1014">
        <f t="shared" si="107"/>
        <v>108000</v>
      </c>
      <c r="AG147" s="1014">
        <f t="shared" si="108"/>
        <v>108000</v>
      </c>
      <c r="AH147" s="1014">
        <f t="shared" si="109"/>
        <v>108000</v>
      </c>
      <c r="AI147" s="352"/>
    </row>
    <row r="148" spans="1:35" s="319" customFormat="1">
      <c r="A148" s="882" t="s">
        <v>944</v>
      </c>
      <c r="B148" s="884"/>
      <c r="C148" s="885">
        <v>26639</v>
      </c>
      <c r="D148" s="885">
        <v>33961</v>
      </c>
      <c r="E148" s="885">
        <v>22353</v>
      </c>
      <c r="F148" s="367">
        <v>2400</v>
      </c>
      <c r="G148" s="367">
        <f t="shared" si="110"/>
        <v>2400</v>
      </c>
      <c r="H148" s="367">
        <f t="shared" si="110"/>
        <v>2400</v>
      </c>
      <c r="I148" s="367">
        <f t="shared" si="110"/>
        <v>2400</v>
      </c>
      <c r="J148" s="367">
        <f t="shared" si="110"/>
        <v>2400</v>
      </c>
      <c r="K148" s="1526"/>
      <c r="L148" s="352"/>
      <c r="M148" s="1003"/>
      <c r="N148" s="434"/>
      <c r="O148" s="1026"/>
      <c r="P148" s="352"/>
      <c r="Q148" s="352"/>
      <c r="R148" s="352"/>
      <c r="S148" s="352"/>
      <c r="T148" s="352"/>
      <c r="U148" s="352"/>
      <c r="V148" s="352"/>
      <c r="W148" s="352"/>
      <c r="AC148" s="1010" t="str">
        <f t="shared" si="104"/>
        <v>Preschool &amp; Auxiliary Fee</v>
      </c>
      <c r="AD148" s="1014">
        <f t="shared" si="105"/>
        <v>2400</v>
      </c>
      <c r="AE148" s="1014">
        <f t="shared" si="106"/>
        <v>2400</v>
      </c>
      <c r="AF148" s="1014">
        <f t="shared" si="107"/>
        <v>2400</v>
      </c>
      <c r="AG148" s="1014">
        <f t="shared" si="108"/>
        <v>2400</v>
      </c>
      <c r="AH148" s="1014">
        <f t="shared" si="109"/>
        <v>2400</v>
      </c>
      <c r="AI148" s="352"/>
    </row>
    <row r="149" spans="1:35" s="319" customFormat="1">
      <c r="A149" s="882" t="s">
        <v>943</v>
      </c>
      <c r="B149" s="884"/>
      <c r="C149" s="942">
        <v>29126</v>
      </c>
      <c r="D149" s="942">
        <v>29819</v>
      </c>
      <c r="E149" s="942">
        <v>31088</v>
      </c>
      <c r="F149" s="954">
        <f>+Tax!I202</f>
        <v>30672</v>
      </c>
      <c r="G149" s="954">
        <f>+Tax!J202</f>
        <v>30672</v>
      </c>
      <c r="H149" s="954">
        <f>+Tax!K202</f>
        <v>30672</v>
      </c>
      <c r="I149" s="954">
        <f>+Tax!L202</f>
        <v>30672</v>
      </c>
      <c r="J149" s="954">
        <f>+Tax!M202</f>
        <v>30672</v>
      </c>
      <c r="K149" s="1526"/>
      <c r="L149" s="352"/>
      <c r="M149" s="1563"/>
      <c r="N149" s="434"/>
      <c r="O149" s="1026"/>
      <c r="P149" s="1030"/>
      <c r="Q149" s="352"/>
      <c r="R149" s="352"/>
      <c r="S149" s="352"/>
      <c r="T149" s="352"/>
      <c r="U149" s="352"/>
      <c r="V149" s="352"/>
      <c r="W149" s="352"/>
      <c r="AC149" s="1010" t="str">
        <f t="shared" si="104"/>
        <v>Manufactured Homes</v>
      </c>
      <c r="AD149" s="1015">
        <f t="shared" si="105"/>
        <v>30672</v>
      </c>
      <c r="AE149" s="1015">
        <f t="shared" si="106"/>
        <v>30672</v>
      </c>
      <c r="AF149" s="1015">
        <f t="shared" si="107"/>
        <v>30672</v>
      </c>
      <c r="AG149" s="1015">
        <f t="shared" si="108"/>
        <v>30672</v>
      </c>
      <c r="AH149" s="1015">
        <f t="shared" si="109"/>
        <v>30672</v>
      </c>
      <c r="AI149" s="352"/>
    </row>
    <row r="150" spans="1:35" s="319" customFormat="1" ht="15.6">
      <c r="A150" s="1417" t="s">
        <v>1041</v>
      </c>
      <c r="B150" s="886"/>
      <c r="C150" s="887">
        <v>1900591</v>
      </c>
      <c r="D150" s="887">
        <f t="shared" ref="D150:I150" si="115">ROUND(SUM(D141:D149),0)</f>
        <v>2077305</v>
      </c>
      <c r="E150" s="887">
        <f t="shared" si="115"/>
        <v>2137525</v>
      </c>
      <c r="F150" s="887">
        <f t="shared" si="115"/>
        <v>1205805</v>
      </c>
      <c r="G150" s="887">
        <f t="shared" si="115"/>
        <v>1179285</v>
      </c>
      <c r="H150" s="887">
        <f t="shared" si="115"/>
        <v>1182344</v>
      </c>
      <c r="I150" s="887">
        <f t="shared" si="115"/>
        <v>1173130</v>
      </c>
      <c r="J150" s="887">
        <f t="shared" ref="J150" si="116">ROUND(SUM(J141:J149),0)</f>
        <v>1176644</v>
      </c>
      <c r="K150" s="1526"/>
      <c r="L150" s="352"/>
      <c r="M150" s="403"/>
      <c r="N150" s="434"/>
      <c r="Q150" s="352"/>
      <c r="R150" s="352"/>
      <c r="S150" s="352"/>
      <c r="T150" s="352"/>
      <c r="U150" s="352"/>
      <c r="V150" s="352"/>
      <c r="W150" s="352"/>
      <c r="AC150" s="1372" t="str">
        <f t="shared" si="104"/>
        <v>Total Other Local Revenue Line #1.060</v>
      </c>
      <c r="AD150" s="1373">
        <f t="shared" si="105"/>
        <v>1205805</v>
      </c>
      <c r="AE150" s="1373">
        <f t="shared" si="106"/>
        <v>1179285</v>
      </c>
      <c r="AF150" s="1373">
        <f t="shared" si="107"/>
        <v>1182344</v>
      </c>
      <c r="AG150" s="1373">
        <f t="shared" si="108"/>
        <v>1173130</v>
      </c>
      <c r="AH150" s="1373">
        <f t="shared" si="109"/>
        <v>1176644</v>
      </c>
      <c r="AI150" s="352"/>
    </row>
    <row r="151" spans="1:35" s="319" customFormat="1" ht="16.2" thickBot="1">
      <c r="A151" s="1418" t="s">
        <v>1036</v>
      </c>
      <c r="B151" s="1419"/>
      <c r="C151" s="1420">
        <v>0.12046830443915302</v>
      </c>
      <c r="D151" s="1420">
        <f t="shared" ref="D151:J151" si="117">IFERROR((D150-C150)/C150,0)</f>
        <v>9.2978447230361499E-2</v>
      </c>
      <c r="E151" s="1420">
        <f t="shared" si="117"/>
        <v>2.8989483970817957E-2</v>
      </c>
      <c r="F151" s="1420">
        <f t="shared" si="117"/>
        <v>-0.43588729956374778</v>
      </c>
      <c r="G151" s="1420">
        <f t="shared" si="117"/>
        <v>-2.1993605931307302E-2</v>
      </c>
      <c r="H151" s="1420">
        <f t="shared" si="117"/>
        <v>2.5939446359446615E-3</v>
      </c>
      <c r="I151" s="1420">
        <f t="shared" si="117"/>
        <v>-7.7929942554789472E-3</v>
      </c>
      <c r="J151" s="1420">
        <f t="shared" si="117"/>
        <v>2.9954054537860253E-3</v>
      </c>
      <c r="K151" s="1526"/>
      <c r="L151" s="352"/>
      <c r="M151" s="1569"/>
      <c r="N151" s="352"/>
      <c r="O151" s="352"/>
      <c r="P151" s="352"/>
      <c r="Q151" s="352"/>
      <c r="R151" s="352"/>
      <c r="S151" s="352"/>
      <c r="T151" s="352"/>
      <c r="U151" s="352"/>
      <c r="V151" s="352"/>
      <c r="W151" s="352"/>
      <c r="AC151" s="1010"/>
      <c r="AD151" s="1012"/>
      <c r="AE151" s="1012"/>
      <c r="AF151" s="1012"/>
      <c r="AG151" s="1012"/>
      <c r="AH151" s="1012"/>
      <c r="AI151" s="352"/>
    </row>
    <row r="152" spans="1:35" s="319" customFormat="1" ht="15.6">
      <c r="A152" s="752"/>
      <c r="B152" s="753"/>
      <c r="C152" s="330"/>
      <c r="D152" s="330"/>
      <c r="E152" s="330"/>
      <c r="F152" s="330"/>
      <c r="G152" s="330"/>
      <c r="H152" s="330"/>
      <c r="I152" s="330"/>
      <c r="J152" s="330"/>
      <c r="K152" s="1522"/>
      <c r="L152" s="352"/>
      <c r="M152" s="352"/>
      <c r="N152" s="352"/>
      <c r="O152" s="352"/>
      <c r="P152" s="352"/>
      <c r="Q152" s="352"/>
      <c r="R152" s="352"/>
      <c r="S152" s="352"/>
      <c r="T152" s="352"/>
      <c r="U152" s="352"/>
      <c r="V152" s="352"/>
      <c r="W152" s="352"/>
      <c r="AC152" s="1010"/>
      <c r="AD152" s="1012"/>
      <c r="AE152" s="1012"/>
      <c r="AF152" s="1012"/>
      <c r="AG152" s="1012"/>
      <c r="AH152" s="1012"/>
      <c r="AI152" s="352"/>
    </row>
    <row r="153" spans="1:35" s="319" customFormat="1" ht="15" customHeight="1">
      <c r="A153" s="862" t="s">
        <v>398</v>
      </c>
      <c r="B153" s="796"/>
      <c r="C153" s="380"/>
      <c r="D153" s="380"/>
      <c r="E153" s="487"/>
      <c r="F153" s="591"/>
      <c r="G153" s="649"/>
      <c r="H153" s="676"/>
      <c r="I153" s="720"/>
      <c r="J153" s="720"/>
      <c r="K153" s="381"/>
      <c r="L153" s="352"/>
      <c r="M153" s="352"/>
      <c r="N153" s="352"/>
      <c r="O153" s="352"/>
      <c r="P153" s="352"/>
      <c r="Q153" s="352"/>
      <c r="R153" s="352"/>
      <c r="S153" s="352"/>
      <c r="T153" s="352"/>
      <c r="U153" s="352"/>
      <c r="V153" s="352"/>
      <c r="W153" s="352"/>
      <c r="AC153" s="1010"/>
      <c r="AD153" s="1012"/>
      <c r="AE153" s="1012"/>
      <c r="AF153" s="1012"/>
      <c r="AG153" s="1012"/>
      <c r="AH153" s="1012"/>
      <c r="AI153" s="352"/>
    </row>
    <row r="154" spans="1:35">
      <c r="A154" s="797"/>
      <c r="B154" s="798"/>
      <c r="C154" s="381"/>
      <c r="D154" s="381"/>
      <c r="E154" s="381"/>
      <c r="F154" s="381"/>
      <c r="G154" s="381"/>
      <c r="H154" s="381"/>
      <c r="I154" s="381"/>
      <c r="J154" s="381"/>
      <c r="K154" s="381"/>
      <c r="AC154" s="1010"/>
      <c r="AD154" s="1012"/>
      <c r="AE154" s="1012"/>
      <c r="AF154" s="1012"/>
      <c r="AG154" s="1012"/>
      <c r="AH154" s="1012"/>
    </row>
    <row r="155" spans="1:35">
      <c r="A155" s="799"/>
      <c r="B155" s="798"/>
      <c r="C155" s="381"/>
      <c r="D155" s="381"/>
      <c r="E155" s="381"/>
      <c r="F155" s="381"/>
      <c r="G155" s="381"/>
      <c r="H155" s="381"/>
      <c r="I155" s="381"/>
      <c r="J155" s="381"/>
      <c r="K155" s="381"/>
      <c r="AC155" s="1010"/>
      <c r="AD155" s="1012"/>
      <c r="AE155" s="1012"/>
      <c r="AF155" s="1012"/>
      <c r="AG155" s="1012"/>
      <c r="AH155" s="1012"/>
    </row>
    <row r="156" spans="1:35" ht="25.5" customHeight="1">
      <c r="A156" s="799" t="s">
        <v>304</v>
      </c>
      <c r="B156" s="798"/>
      <c r="C156" s="381"/>
      <c r="D156" s="381"/>
      <c r="E156" s="381"/>
      <c r="F156" s="381"/>
      <c r="G156" s="381"/>
      <c r="H156" s="381"/>
      <c r="I156" s="381"/>
      <c r="J156" s="381"/>
      <c r="K156" s="381"/>
      <c r="AC156" s="1010"/>
      <c r="AD156" s="1012"/>
      <c r="AE156" s="1012"/>
      <c r="AF156" s="1012"/>
      <c r="AG156" s="1012"/>
      <c r="AH156" s="1012"/>
    </row>
    <row r="157" spans="1:35">
      <c r="A157" s="799" t="s">
        <v>292</v>
      </c>
      <c r="B157" s="798"/>
      <c r="C157" s="381"/>
      <c r="D157" s="381"/>
      <c r="E157" s="381"/>
      <c r="F157" s="381"/>
      <c r="G157" s="381"/>
      <c r="H157" s="381"/>
      <c r="I157" s="381"/>
      <c r="J157" s="381"/>
      <c r="K157" s="381"/>
      <c r="AC157" s="1010"/>
      <c r="AD157" s="1012"/>
      <c r="AE157" s="1012"/>
      <c r="AF157" s="1012"/>
      <c r="AG157" s="1012"/>
      <c r="AH157" s="1012"/>
    </row>
    <row r="158" spans="1:35">
      <c r="A158" s="799" t="s">
        <v>291</v>
      </c>
      <c r="B158" s="798"/>
      <c r="C158" s="381"/>
      <c r="D158" s="381"/>
      <c r="E158" s="381"/>
      <c r="F158" s="381"/>
      <c r="G158" s="381"/>
      <c r="H158" s="381"/>
      <c r="I158" s="381"/>
      <c r="J158" s="381"/>
      <c r="K158" s="381"/>
      <c r="AC158" s="1010"/>
      <c r="AD158" s="1012"/>
      <c r="AE158" s="1012"/>
      <c r="AF158" s="1012"/>
      <c r="AG158" s="1012"/>
      <c r="AH158" s="1012"/>
    </row>
    <row r="159" spans="1:35">
      <c r="A159" s="799"/>
      <c r="B159" s="798"/>
      <c r="C159" s="381"/>
      <c r="D159" s="381"/>
      <c r="E159" s="381"/>
      <c r="F159" s="381"/>
      <c r="G159" s="381"/>
      <c r="H159" s="381"/>
      <c r="I159" s="381"/>
      <c r="J159" s="381"/>
      <c r="K159" s="381"/>
      <c r="AC159" s="1010"/>
      <c r="AD159" s="1012"/>
      <c r="AE159" s="1012"/>
      <c r="AF159" s="1012"/>
      <c r="AG159" s="1012"/>
      <c r="AH159" s="1012"/>
    </row>
    <row r="160" spans="1:35">
      <c r="A160" s="797" t="s">
        <v>46</v>
      </c>
      <c r="B160" s="798"/>
      <c r="C160" s="381"/>
      <c r="D160" s="381"/>
      <c r="E160" s="381"/>
      <c r="F160" s="381"/>
      <c r="G160" s="381"/>
      <c r="H160" s="381"/>
      <c r="I160" s="381"/>
      <c r="J160" s="381"/>
      <c r="K160" s="381"/>
      <c r="AC160" s="1010"/>
      <c r="AD160" s="1012"/>
      <c r="AE160" s="1012"/>
      <c r="AF160" s="1012"/>
      <c r="AG160" s="1012"/>
      <c r="AH160" s="1012"/>
    </row>
    <row r="161" spans="1:34">
      <c r="A161" s="799"/>
      <c r="B161" s="798"/>
      <c r="C161" s="381"/>
      <c r="D161" s="381"/>
      <c r="E161" s="381"/>
      <c r="F161" s="381"/>
      <c r="G161" s="381"/>
      <c r="H161" s="381"/>
      <c r="I161" s="381"/>
      <c r="J161" s="381"/>
      <c r="K161" s="381"/>
      <c r="AC161" s="1010"/>
      <c r="AD161" s="1012"/>
      <c r="AE161" s="1012"/>
      <c r="AF161" s="1012"/>
      <c r="AG161" s="1012"/>
      <c r="AH161" s="1012"/>
    </row>
    <row r="162" spans="1:34">
      <c r="A162" s="799" t="s">
        <v>7</v>
      </c>
      <c r="B162" s="798"/>
      <c r="C162" s="381"/>
      <c r="D162" s="381"/>
      <c r="E162" s="381"/>
      <c r="F162" s="381"/>
      <c r="G162" s="381"/>
      <c r="H162" s="381"/>
      <c r="I162" s="381"/>
      <c r="J162" s="381"/>
      <c r="K162" s="381"/>
      <c r="AC162" s="1010"/>
      <c r="AD162" s="1012"/>
      <c r="AE162" s="1012"/>
      <c r="AF162" s="1012"/>
      <c r="AG162" s="1012"/>
      <c r="AH162" s="1012"/>
    </row>
    <row r="163" spans="1:34">
      <c r="A163" s="799"/>
      <c r="B163" s="798"/>
      <c r="C163" s="381"/>
      <c r="D163" s="381"/>
      <c r="E163" s="381"/>
      <c r="F163" s="381"/>
      <c r="G163" s="381"/>
      <c r="H163" s="381"/>
      <c r="I163" s="381"/>
      <c r="J163" s="381"/>
      <c r="K163" s="381"/>
      <c r="AC163" s="1370"/>
      <c r="AD163" s="1371"/>
      <c r="AE163" s="1371"/>
      <c r="AF163" s="1371"/>
      <c r="AG163" s="1371"/>
      <c r="AH163" s="1371"/>
    </row>
    <row r="164" spans="1:34">
      <c r="A164" s="797" t="s">
        <v>265</v>
      </c>
      <c r="B164" s="382"/>
      <c r="C164" s="916" t="s">
        <v>431</v>
      </c>
      <c r="D164" s="916" t="str">
        <f t="shared" ref="D164:I164" si="118">+D172</f>
        <v>FY20</v>
      </c>
      <c r="E164" s="916" t="str">
        <f t="shared" si="118"/>
        <v>FY21</v>
      </c>
      <c r="F164" s="916" t="str">
        <f t="shared" si="118"/>
        <v>FY22</v>
      </c>
      <c r="G164" s="916" t="str">
        <f t="shared" si="118"/>
        <v>FY23</v>
      </c>
      <c r="H164" s="916" t="str">
        <f t="shared" si="118"/>
        <v>FY24</v>
      </c>
      <c r="I164" s="916" t="str">
        <f t="shared" si="118"/>
        <v>FY25</v>
      </c>
      <c r="J164" s="916" t="str">
        <f t="shared" ref="J164" si="119">+J172</f>
        <v>FY26</v>
      </c>
      <c r="K164" s="381"/>
      <c r="M164" s="1515"/>
      <c r="AC164" s="1029" t="str">
        <f>A164</f>
        <v>Source</v>
      </c>
      <c r="AD164" s="1018" t="str">
        <f t="shared" ref="AD164:AH165" si="120">F164</f>
        <v>FY22</v>
      </c>
      <c r="AE164" s="1018" t="str">
        <f t="shared" si="120"/>
        <v>FY23</v>
      </c>
      <c r="AF164" s="1018" t="str">
        <f t="shared" si="120"/>
        <v>FY24</v>
      </c>
      <c r="AG164" s="1018" t="str">
        <f t="shared" si="120"/>
        <v>FY25</v>
      </c>
      <c r="AH164" s="1018" t="str">
        <f t="shared" si="120"/>
        <v>FY26</v>
      </c>
    </row>
    <row r="165" spans="1:34" ht="15.6">
      <c r="A165" s="863" t="s">
        <v>85</v>
      </c>
      <c r="B165" s="383"/>
      <c r="C165" s="384">
        <v>0</v>
      </c>
      <c r="D165" s="384">
        <v>0</v>
      </c>
      <c r="E165" s="384">
        <v>0</v>
      </c>
      <c r="F165" s="385">
        <v>0</v>
      </c>
      <c r="G165" s="385">
        <v>0</v>
      </c>
      <c r="H165" s="385">
        <v>0</v>
      </c>
      <c r="I165" s="385">
        <v>0</v>
      </c>
      <c r="J165" s="385">
        <v>0</v>
      </c>
      <c r="K165" s="381"/>
      <c r="M165" s="403"/>
      <c r="N165" s="434"/>
      <c r="AC165" s="1010" t="str">
        <f>A165</f>
        <v>Tax Anticipation Notes (TANS) Line 2.010</v>
      </c>
      <c r="AD165" s="1016">
        <f t="shared" si="120"/>
        <v>0</v>
      </c>
      <c r="AE165" s="1016">
        <f t="shared" si="120"/>
        <v>0</v>
      </c>
      <c r="AF165" s="1016">
        <f t="shared" si="120"/>
        <v>0</v>
      </c>
      <c r="AG165" s="1016">
        <f t="shared" si="120"/>
        <v>0</v>
      </c>
      <c r="AH165" s="1016">
        <f t="shared" si="120"/>
        <v>0</v>
      </c>
    </row>
    <row r="166" spans="1:34" ht="15.6">
      <c r="A166" s="863"/>
      <c r="B166" s="383"/>
      <c r="C166" s="384"/>
      <c r="D166" s="384"/>
      <c r="E166" s="384"/>
      <c r="F166" s="386"/>
      <c r="G166" s="386"/>
      <c r="H166" s="386"/>
      <c r="I166" s="386"/>
      <c r="J166" s="386"/>
      <c r="K166" s="381"/>
      <c r="M166" s="403"/>
      <c r="AC166" s="1372"/>
      <c r="AD166" s="1375"/>
      <c r="AE166" s="1375"/>
      <c r="AF166" s="1375"/>
      <c r="AG166" s="1375"/>
      <c r="AH166" s="1375"/>
    </row>
    <row r="167" spans="1:34" ht="15.6">
      <c r="A167" s="797"/>
      <c r="B167" s="383"/>
      <c r="C167" s="384"/>
      <c r="D167" s="384"/>
      <c r="E167" s="384"/>
      <c r="F167" s="386"/>
      <c r="G167" s="386"/>
      <c r="H167" s="386"/>
      <c r="I167" s="386"/>
      <c r="J167" s="386"/>
      <c r="K167" s="381"/>
      <c r="M167" s="403"/>
      <c r="AC167" s="1370"/>
      <c r="AD167" s="1371"/>
      <c r="AE167" s="1371"/>
      <c r="AF167" s="1371"/>
      <c r="AG167" s="1371"/>
      <c r="AH167" s="1378"/>
    </row>
    <row r="168" spans="1:34">
      <c r="A168" s="797" t="s">
        <v>265</v>
      </c>
      <c r="B168" s="382"/>
      <c r="C168" s="916" t="s">
        <v>431</v>
      </c>
      <c r="D168" s="916" t="str">
        <f t="shared" ref="D168:I168" si="121">+D164</f>
        <v>FY20</v>
      </c>
      <c r="E168" s="916" t="str">
        <f t="shared" si="121"/>
        <v>FY21</v>
      </c>
      <c r="F168" s="916" t="str">
        <f t="shared" si="121"/>
        <v>FY22</v>
      </c>
      <c r="G168" s="916" t="str">
        <f t="shared" si="121"/>
        <v>FY23</v>
      </c>
      <c r="H168" s="916" t="str">
        <f t="shared" si="121"/>
        <v>FY24</v>
      </c>
      <c r="I168" s="916" t="str">
        <f t="shared" si="121"/>
        <v>FY25</v>
      </c>
      <c r="J168" s="916" t="str">
        <f t="shared" ref="J168" si="122">+J164</f>
        <v>FY26</v>
      </c>
      <c r="K168" s="381"/>
      <c r="M168" s="1515"/>
      <c r="AC168" s="1029"/>
      <c r="AD168" s="1018" t="str">
        <f t="shared" ref="AD168:AH169" si="123">F168</f>
        <v>FY22</v>
      </c>
      <c r="AE168" s="1018" t="str">
        <f t="shared" si="123"/>
        <v>FY23</v>
      </c>
      <c r="AF168" s="1018" t="str">
        <f t="shared" si="123"/>
        <v>FY24</v>
      </c>
      <c r="AG168" s="1018" t="str">
        <f t="shared" si="123"/>
        <v>FY25</v>
      </c>
      <c r="AH168" s="1376" t="str">
        <f t="shared" si="123"/>
        <v>FY26</v>
      </c>
    </row>
    <row r="169" spans="1:34">
      <c r="A169" s="799" t="s">
        <v>384</v>
      </c>
      <c r="B169" s="382"/>
      <c r="C169" s="387">
        <v>0</v>
      </c>
      <c r="D169" s="387">
        <v>0</v>
      </c>
      <c r="E169" s="387">
        <v>0</v>
      </c>
      <c r="F169" s="342">
        <v>0</v>
      </c>
      <c r="G169" s="342">
        <v>0</v>
      </c>
      <c r="H169" s="342">
        <v>0</v>
      </c>
      <c r="I169" s="342">
        <v>0</v>
      </c>
      <c r="J169" s="342">
        <v>0</v>
      </c>
      <c r="K169" s="381"/>
      <c r="M169" s="1558"/>
      <c r="N169" s="434"/>
      <c r="AC169" s="1010" t="str">
        <f>A169</f>
        <v>State Emergency Loan - Line 2.020</v>
      </c>
      <c r="AD169" s="1016">
        <f t="shared" si="123"/>
        <v>0</v>
      </c>
      <c r="AE169" s="1016">
        <f t="shared" si="123"/>
        <v>0</v>
      </c>
      <c r="AF169" s="1016">
        <f t="shared" si="123"/>
        <v>0</v>
      </c>
      <c r="AG169" s="1016">
        <f t="shared" si="123"/>
        <v>0</v>
      </c>
      <c r="AH169" s="1377">
        <f t="shared" si="123"/>
        <v>0</v>
      </c>
    </row>
    <row r="170" spans="1:34" ht="15.6">
      <c r="A170" s="797" t="s">
        <v>384</v>
      </c>
      <c r="B170" s="800"/>
      <c r="C170" s="384">
        <v>0</v>
      </c>
      <c r="D170" s="384">
        <f t="shared" ref="D170:G170" si="124">D169</f>
        <v>0</v>
      </c>
      <c r="E170" s="384">
        <f t="shared" si="124"/>
        <v>0</v>
      </c>
      <c r="F170" s="384">
        <f t="shared" si="124"/>
        <v>0</v>
      </c>
      <c r="G170" s="384">
        <f t="shared" si="124"/>
        <v>0</v>
      </c>
      <c r="H170" s="384">
        <f t="shared" ref="H170:I170" si="125">H169</f>
        <v>0</v>
      </c>
      <c r="I170" s="384">
        <f t="shared" si="125"/>
        <v>0</v>
      </c>
      <c r="J170" s="384">
        <f t="shared" ref="J170" si="126">J169</f>
        <v>0</v>
      </c>
      <c r="K170" s="381"/>
      <c r="M170" s="403"/>
      <c r="N170" s="434"/>
      <c r="AC170" s="1010"/>
      <c r="AD170" s="1012"/>
      <c r="AE170" s="1012"/>
      <c r="AF170" s="1012"/>
      <c r="AG170" s="1012"/>
      <c r="AH170" s="1012"/>
    </row>
    <row r="171" spans="1:34" ht="15.6">
      <c r="A171" s="797"/>
      <c r="B171" s="800"/>
      <c r="C171" s="389"/>
      <c r="D171" s="389"/>
      <c r="E171" s="389"/>
      <c r="F171" s="389"/>
      <c r="G171" s="389"/>
      <c r="H171" s="389"/>
      <c r="I171" s="389"/>
      <c r="J171" s="389"/>
      <c r="K171" s="381"/>
      <c r="M171" s="1567"/>
      <c r="AC171" s="1010"/>
      <c r="AD171" s="1012"/>
      <c r="AE171" s="1012"/>
      <c r="AF171" s="1012"/>
      <c r="AG171" s="1012"/>
      <c r="AH171" s="1012"/>
    </row>
    <row r="172" spans="1:34">
      <c r="A172" s="797" t="s">
        <v>265</v>
      </c>
      <c r="B172" s="382"/>
      <c r="C172" s="916" t="s">
        <v>431</v>
      </c>
      <c r="D172" s="916" t="str">
        <f t="shared" ref="D172:I172" si="127">D26</f>
        <v>FY20</v>
      </c>
      <c r="E172" s="916" t="str">
        <f t="shared" si="127"/>
        <v>FY21</v>
      </c>
      <c r="F172" s="916" t="str">
        <f t="shared" si="127"/>
        <v>FY22</v>
      </c>
      <c r="G172" s="916" t="str">
        <f t="shared" si="127"/>
        <v>FY23</v>
      </c>
      <c r="H172" s="916" t="str">
        <f t="shared" si="127"/>
        <v>FY24</v>
      </c>
      <c r="I172" s="916" t="str">
        <f t="shared" si="127"/>
        <v>FY25</v>
      </c>
      <c r="J172" s="916" t="str">
        <f t="shared" ref="J172" si="128">J26</f>
        <v>FY26</v>
      </c>
      <c r="K172" s="381"/>
      <c r="L172" s="1514"/>
      <c r="M172" s="1515"/>
      <c r="AC172" s="1029" t="str">
        <f>A172</f>
        <v>Source</v>
      </c>
      <c r="AD172" s="1018" t="str">
        <f t="shared" ref="AD172:AH175" si="129">F172</f>
        <v>FY22</v>
      </c>
      <c r="AE172" s="1018" t="str">
        <f t="shared" si="129"/>
        <v>FY23</v>
      </c>
      <c r="AF172" s="1018" t="str">
        <f t="shared" si="129"/>
        <v>FY24</v>
      </c>
      <c r="AG172" s="1018" t="str">
        <f t="shared" si="129"/>
        <v>FY25</v>
      </c>
      <c r="AH172" s="1018" t="str">
        <f t="shared" si="129"/>
        <v>FY26</v>
      </c>
    </row>
    <row r="173" spans="1:34">
      <c r="A173" s="799" t="s">
        <v>210</v>
      </c>
      <c r="B173" s="382"/>
      <c r="C173" s="388">
        <v>15031</v>
      </c>
      <c r="D173" s="388">
        <v>0</v>
      </c>
      <c r="E173" s="388">
        <v>0</v>
      </c>
      <c r="F173" s="342">
        <v>0</v>
      </c>
      <c r="G173" s="342">
        <v>0</v>
      </c>
      <c r="H173" s="342">
        <v>0</v>
      </c>
      <c r="I173" s="342">
        <v>0</v>
      </c>
      <c r="J173" s="342">
        <v>0</v>
      </c>
      <c r="K173" s="381"/>
      <c r="M173" s="1558"/>
      <c r="N173" s="434"/>
      <c r="AC173" s="1010" t="str">
        <f>A173</f>
        <v>Transfers In - Line 2.040</v>
      </c>
      <c r="AD173" s="1012">
        <f t="shared" si="129"/>
        <v>0</v>
      </c>
      <c r="AE173" s="1012">
        <f t="shared" si="129"/>
        <v>0</v>
      </c>
      <c r="AF173" s="1012">
        <f t="shared" si="129"/>
        <v>0</v>
      </c>
      <c r="AG173" s="1012">
        <f t="shared" si="129"/>
        <v>0</v>
      </c>
      <c r="AH173" s="1012">
        <f t="shared" si="129"/>
        <v>0</v>
      </c>
    </row>
    <row r="174" spans="1:34" ht="15.6">
      <c r="A174" s="799" t="s">
        <v>211</v>
      </c>
      <c r="B174" s="800"/>
      <c r="C174" s="892">
        <v>0</v>
      </c>
      <c r="D174" s="892">
        <f>+C364</f>
        <v>3283.99</v>
      </c>
      <c r="E174" s="892">
        <f t="shared" ref="E174:J174" si="130">+D364</f>
        <v>0</v>
      </c>
      <c r="F174" s="949">
        <f t="shared" si="130"/>
        <v>102915</v>
      </c>
      <c r="G174" s="949">
        <f t="shared" si="130"/>
        <v>0</v>
      </c>
      <c r="H174" s="949">
        <f t="shared" si="130"/>
        <v>0</v>
      </c>
      <c r="I174" s="949">
        <f t="shared" si="130"/>
        <v>0</v>
      </c>
      <c r="J174" s="949">
        <f t="shared" si="130"/>
        <v>0</v>
      </c>
      <c r="K174" s="381"/>
      <c r="M174" s="1568"/>
      <c r="N174" s="434"/>
      <c r="AC174" s="1010" t="str">
        <f>A174</f>
        <v>Advance Returns - Line 2.050</v>
      </c>
      <c r="AD174" s="1015">
        <f t="shared" si="129"/>
        <v>102915</v>
      </c>
      <c r="AE174" s="1015">
        <f t="shared" si="129"/>
        <v>0</v>
      </c>
      <c r="AF174" s="1015">
        <f t="shared" si="129"/>
        <v>0</v>
      </c>
      <c r="AG174" s="1015">
        <f t="shared" si="129"/>
        <v>0</v>
      </c>
      <c r="AH174" s="1015">
        <f t="shared" si="129"/>
        <v>0</v>
      </c>
    </row>
    <row r="175" spans="1:34" ht="15.6">
      <c r="A175" s="797" t="s">
        <v>212</v>
      </c>
      <c r="B175" s="800"/>
      <c r="C175" s="384">
        <v>15031</v>
      </c>
      <c r="D175" s="384">
        <f t="shared" ref="D175:H175" si="131">SUM(D173:D174)</f>
        <v>3283.99</v>
      </c>
      <c r="E175" s="384">
        <f t="shared" si="131"/>
        <v>0</v>
      </c>
      <c r="F175" s="384">
        <f t="shared" si="131"/>
        <v>102915</v>
      </c>
      <c r="G175" s="384">
        <f t="shared" si="131"/>
        <v>0</v>
      </c>
      <c r="H175" s="384">
        <f t="shared" si="131"/>
        <v>0</v>
      </c>
      <c r="I175" s="384">
        <f t="shared" ref="I175:J175" si="132">SUM(I173:I174)</f>
        <v>0</v>
      </c>
      <c r="J175" s="384">
        <f t="shared" si="132"/>
        <v>0</v>
      </c>
      <c r="K175" s="381"/>
      <c r="M175" s="403"/>
      <c r="N175" s="434"/>
      <c r="AC175" s="1010" t="str">
        <f>A175</f>
        <v>Total Transfer &amp; Advances In</v>
      </c>
      <c r="AD175" s="1016">
        <f t="shared" si="129"/>
        <v>102915</v>
      </c>
      <c r="AE175" s="1016">
        <f t="shared" si="129"/>
        <v>0</v>
      </c>
      <c r="AF175" s="1016">
        <f t="shared" si="129"/>
        <v>0</v>
      </c>
      <c r="AG175" s="1016">
        <f t="shared" si="129"/>
        <v>0</v>
      </c>
      <c r="AH175" s="1016">
        <f t="shared" si="129"/>
        <v>0</v>
      </c>
    </row>
    <row r="176" spans="1:34" ht="15.6">
      <c r="A176" s="799"/>
      <c r="B176" s="800"/>
      <c r="C176" s="384"/>
      <c r="D176" s="384"/>
      <c r="E176" s="384"/>
      <c r="F176" s="384"/>
      <c r="G176" s="384"/>
      <c r="H176" s="384"/>
      <c r="I176" s="384"/>
      <c r="J176" s="384"/>
      <c r="K176" s="381"/>
      <c r="M176" s="403"/>
      <c r="AC176" s="1010"/>
      <c r="AD176" s="1012"/>
      <c r="AE176" s="1012"/>
      <c r="AF176" s="1012"/>
      <c r="AG176" s="1012"/>
      <c r="AH176" s="1012"/>
    </row>
    <row r="177" spans="1:34">
      <c r="A177" s="799"/>
      <c r="B177" s="800"/>
      <c r="C177" s="388"/>
      <c r="D177" s="388"/>
      <c r="E177" s="388"/>
      <c r="F177" s="388"/>
      <c r="G177" s="388"/>
      <c r="H177" s="388"/>
      <c r="I177" s="388"/>
      <c r="J177" s="388"/>
      <c r="K177" s="381"/>
      <c r="M177" s="434"/>
      <c r="AC177" s="1010"/>
      <c r="AD177" s="1012"/>
      <c r="AE177" s="1012"/>
      <c r="AF177" s="1012"/>
      <c r="AG177" s="1012"/>
      <c r="AH177" s="1012"/>
    </row>
    <row r="178" spans="1:34">
      <c r="A178" s="797" t="s">
        <v>412</v>
      </c>
      <c r="B178" s="800"/>
      <c r="C178" s="388"/>
      <c r="D178" s="388"/>
      <c r="E178" s="388"/>
      <c r="F178" s="388"/>
      <c r="G178" s="388"/>
      <c r="H178" s="388"/>
      <c r="I178" s="388"/>
      <c r="J178" s="388"/>
      <c r="K178" s="381"/>
      <c r="M178" s="434"/>
      <c r="AC178" s="1010"/>
      <c r="AD178" s="1012"/>
      <c r="AE178" s="1012"/>
      <c r="AF178" s="1012"/>
      <c r="AG178" s="1012"/>
      <c r="AH178" s="1012"/>
    </row>
    <row r="179" spans="1:34">
      <c r="A179" s="797" t="s">
        <v>1009</v>
      </c>
      <c r="B179" s="800"/>
      <c r="C179" s="388"/>
      <c r="D179" s="388"/>
      <c r="E179" s="388">
        <f>124445+463515</f>
        <v>587960</v>
      </c>
      <c r="F179" s="360"/>
      <c r="G179" s="360"/>
      <c r="H179" s="360"/>
      <c r="I179" s="360"/>
      <c r="J179" s="360"/>
      <c r="K179" s="381"/>
      <c r="M179" s="434"/>
      <c r="N179" s="434"/>
      <c r="AC179" s="1370"/>
      <c r="AD179" s="1371"/>
      <c r="AE179" s="1371"/>
      <c r="AF179" s="1371"/>
      <c r="AG179" s="1371"/>
      <c r="AH179" s="1371"/>
    </row>
    <row r="180" spans="1:34">
      <c r="A180" s="799"/>
      <c r="B180" s="800"/>
      <c r="C180" s="916" t="s">
        <v>431</v>
      </c>
      <c r="D180" s="916" t="str">
        <f t="shared" ref="D180:I180" si="133">D26</f>
        <v>FY20</v>
      </c>
      <c r="E180" s="916" t="str">
        <f t="shared" si="133"/>
        <v>FY21</v>
      </c>
      <c r="F180" s="916" t="str">
        <f t="shared" si="133"/>
        <v>FY22</v>
      </c>
      <c r="G180" s="916" t="str">
        <f t="shared" si="133"/>
        <v>FY23</v>
      </c>
      <c r="H180" s="916" t="str">
        <f t="shared" si="133"/>
        <v>FY24</v>
      </c>
      <c r="I180" s="916" t="str">
        <f t="shared" si="133"/>
        <v>FY25</v>
      </c>
      <c r="J180" s="916" t="str">
        <f t="shared" ref="J180" si="134">J26</f>
        <v>FY26</v>
      </c>
      <c r="K180" s="381"/>
      <c r="M180" s="1515"/>
      <c r="AC180" s="1029" t="s">
        <v>265</v>
      </c>
      <c r="AD180" s="1018" t="str">
        <f t="shared" ref="AD180:AH182" si="135">F180</f>
        <v>FY22</v>
      </c>
      <c r="AE180" s="1018" t="str">
        <f t="shared" si="135"/>
        <v>FY23</v>
      </c>
      <c r="AF180" s="1018" t="str">
        <f t="shared" si="135"/>
        <v>FY24</v>
      </c>
      <c r="AG180" s="1018" t="str">
        <f t="shared" si="135"/>
        <v>FY25</v>
      </c>
      <c r="AH180" s="1018" t="str">
        <f t="shared" si="135"/>
        <v>FY26</v>
      </c>
    </row>
    <row r="181" spans="1:34">
      <c r="A181" s="863" t="s">
        <v>940</v>
      </c>
      <c r="B181" s="800"/>
      <c r="C181" s="388">
        <v>16866</v>
      </c>
      <c r="D181" s="388">
        <v>349</v>
      </c>
      <c r="E181" s="388">
        <v>69333</v>
      </c>
      <c r="F181" s="360">
        <v>15000</v>
      </c>
      <c r="G181" s="360">
        <f t="shared" ref="G181:J181" si="136">ROUND(F181*1,0)</f>
        <v>15000</v>
      </c>
      <c r="H181" s="360">
        <f t="shared" si="136"/>
        <v>15000</v>
      </c>
      <c r="I181" s="360">
        <f t="shared" si="136"/>
        <v>15000</v>
      </c>
      <c r="J181" s="360">
        <f t="shared" si="136"/>
        <v>15000</v>
      </c>
      <c r="K181" s="381"/>
      <c r="M181" s="434"/>
      <c r="N181" s="434"/>
      <c r="AC181" s="1010" t="str">
        <f>+A181</f>
        <v>Sale of Fixed Assets</v>
      </c>
      <c r="AD181" s="1012">
        <f t="shared" si="135"/>
        <v>15000</v>
      </c>
      <c r="AE181" s="1012">
        <f t="shared" si="135"/>
        <v>15000</v>
      </c>
      <c r="AF181" s="1012">
        <f t="shared" si="135"/>
        <v>15000</v>
      </c>
      <c r="AG181" s="1012">
        <f t="shared" si="135"/>
        <v>15000</v>
      </c>
      <c r="AH181" s="1012">
        <f t="shared" si="135"/>
        <v>15000</v>
      </c>
    </row>
    <row r="182" spans="1:34" ht="15.6">
      <c r="A182" s="863" t="s">
        <v>199</v>
      </c>
      <c r="B182" s="801">
        <v>380645</v>
      </c>
      <c r="C182" s="892">
        <v>278406</v>
      </c>
      <c r="D182" s="892">
        <v>228691</v>
      </c>
      <c r="E182" s="892">
        <v>819318</v>
      </c>
      <c r="F182" s="893">
        <f>E182+F179-E179+54808</f>
        <v>286166</v>
      </c>
      <c r="G182" s="893">
        <f t="shared" ref="G182:J182" si="137">F182+G179-F179</f>
        <v>286166</v>
      </c>
      <c r="H182" s="893">
        <f t="shared" si="137"/>
        <v>286166</v>
      </c>
      <c r="I182" s="893">
        <f t="shared" si="137"/>
        <v>286166</v>
      </c>
      <c r="J182" s="893">
        <f t="shared" si="137"/>
        <v>286166</v>
      </c>
      <c r="K182" s="381"/>
      <c r="M182" s="1568"/>
      <c r="N182" s="434"/>
      <c r="AC182" s="1010" t="str">
        <f>+A182</f>
        <v xml:space="preserve">Refund of prior years expenditures </v>
      </c>
      <c r="AD182" s="1015">
        <f t="shared" si="135"/>
        <v>286166</v>
      </c>
      <c r="AE182" s="1015">
        <f t="shared" si="135"/>
        <v>286166</v>
      </c>
      <c r="AF182" s="1015">
        <f t="shared" si="135"/>
        <v>286166</v>
      </c>
      <c r="AG182" s="1015">
        <f t="shared" si="135"/>
        <v>286166</v>
      </c>
      <c r="AH182" s="1015">
        <f t="shared" si="135"/>
        <v>286166</v>
      </c>
    </row>
    <row r="183" spans="1:34" ht="15.6">
      <c r="A183" s="863" t="s">
        <v>941</v>
      </c>
      <c r="B183" s="801"/>
      <c r="C183" s="386">
        <v>295272</v>
      </c>
      <c r="D183" s="386">
        <f t="shared" ref="D183:I183" si="138">ROUND(D182+D181,0)</f>
        <v>229040</v>
      </c>
      <c r="E183" s="386">
        <f t="shared" si="138"/>
        <v>888651</v>
      </c>
      <c r="F183" s="386">
        <f t="shared" si="138"/>
        <v>301166</v>
      </c>
      <c r="G183" s="386">
        <f t="shared" si="138"/>
        <v>301166</v>
      </c>
      <c r="H183" s="386">
        <f t="shared" si="138"/>
        <v>301166</v>
      </c>
      <c r="I183" s="386">
        <f t="shared" si="138"/>
        <v>301166</v>
      </c>
      <c r="J183" s="386">
        <f t="shared" ref="J183" si="139">ROUND(J182+J181,0)</f>
        <v>301166</v>
      </c>
      <c r="K183" s="381"/>
      <c r="M183" s="403"/>
      <c r="N183" s="434"/>
      <c r="AC183" s="1372" t="str">
        <f>+A183</f>
        <v>Total All Other Financial Sources Line #2.060</v>
      </c>
      <c r="AD183" s="1373">
        <f>+F183</f>
        <v>301166</v>
      </c>
      <c r="AE183" s="1373">
        <f>+G183</f>
        <v>301166</v>
      </c>
      <c r="AF183" s="1373">
        <f>+H183</f>
        <v>301166</v>
      </c>
      <c r="AG183" s="1373">
        <f>+I183</f>
        <v>301166</v>
      </c>
      <c r="AH183" s="1373">
        <f>+J183</f>
        <v>301166</v>
      </c>
    </row>
    <row r="184" spans="1:34">
      <c r="A184" s="863"/>
      <c r="B184" s="863"/>
      <c r="C184" s="863"/>
      <c r="D184" s="863"/>
      <c r="E184" s="863"/>
      <c r="F184" s="863"/>
      <c r="G184" s="863"/>
      <c r="H184" s="863"/>
      <c r="I184" s="863"/>
      <c r="J184" s="863"/>
      <c r="K184" s="381"/>
      <c r="M184" s="876"/>
      <c r="AC184" s="1370"/>
      <c r="AD184" s="1371"/>
      <c r="AE184" s="1371"/>
      <c r="AF184" s="1371"/>
      <c r="AG184" s="1371"/>
      <c r="AH184" s="1371"/>
    </row>
    <row r="185" spans="1:34">
      <c r="A185" s="863"/>
      <c r="B185" s="801"/>
      <c r="C185" s="916" t="s">
        <v>431</v>
      </c>
      <c r="D185" s="916" t="str">
        <f t="shared" ref="D185:G185" si="140">D180</f>
        <v>FY20</v>
      </c>
      <c r="E185" s="916" t="str">
        <f t="shared" si="140"/>
        <v>FY21</v>
      </c>
      <c r="F185" s="916" t="str">
        <f t="shared" si="140"/>
        <v>FY22</v>
      </c>
      <c r="G185" s="916" t="str">
        <f t="shared" si="140"/>
        <v>FY23</v>
      </c>
      <c r="H185" s="916" t="str">
        <f t="shared" ref="H185:I185" si="141">H180</f>
        <v>FY24</v>
      </c>
      <c r="I185" s="916" t="str">
        <f t="shared" si="141"/>
        <v>FY25</v>
      </c>
      <c r="J185" s="916" t="str">
        <f t="shared" ref="J185" si="142">J180</f>
        <v>FY26</v>
      </c>
      <c r="K185" s="381"/>
      <c r="M185" s="1515"/>
      <c r="AC185" s="1010"/>
      <c r="AD185" s="1018" t="str">
        <f t="shared" ref="AD185:AH186" si="143">F185</f>
        <v>FY22</v>
      </c>
      <c r="AE185" s="1018" t="str">
        <f t="shared" si="143"/>
        <v>FY23</v>
      </c>
      <c r="AF185" s="1018" t="str">
        <f t="shared" si="143"/>
        <v>FY24</v>
      </c>
      <c r="AG185" s="1018" t="str">
        <f t="shared" si="143"/>
        <v>FY25</v>
      </c>
      <c r="AH185" s="1018" t="str">
        <f t="shared" si="143"/>
        <v>FY26</v>
      </c>
    </row>
    <row r="186" spans="1:34" ht="16.2" thickBot="1">
      <c r="A186" s="864" t="s">
        <v>411</v>
      </c>
      <c r="B186" s="802"/>
      <c r="C186" s="390">
        <v>0</v>
      </c>
      <c r="D186" s="390">
        <f t="shared" ref="D186:J186" si="144">C186</f>
        <v>0</v>
      </c>
      <c r="E186" s="390">
        <f t="shared" si="144"/>
        <v>0</v>
      </c>
      <c r="F186" s="391">
        <f t="shared" si="144"/>
        <v>0</v>
      </c>
      <c r="G186" s="391">
        <f t="shared" si="144"/>
        <v>0</v>
      </c>
      <c r="H186" s="391">
        <f t="shared" si="144"/>
        <v>0</v>
      </c>
      <c r="I186" s="391">
        <f t="shared" si="144"/>
        <v>0</v>
      </c>
      <c r="J186" s="391">
        <f t="shared" si="144"/>
        <v>0</v>
      </c>
      <c r="K186" s="381"/>
      <c r="M186" s="403"/>
      <c r="N186" s="434"/>
      <c r="AC186" s="1372" t="str">
        <f>+A186</f>
        <v>Rev. From  State Advances Line #14.010</v>
      </c>
      <c r="AD186" s="1373">
        <f t="shared" si="143"/>
        <v>0</v>
      </c>
      <c r="AE186" s="1373">
        <f t="shared" si="143"/>
        <v>0</v>
      </c>
      <c r="AF186" s="1373">
        <f t="shared" si="143"/>
        <v>0</v>
      </c>
      <c r="AG186" s="1373">
        <f t="shared" si="143"/>
        <v>0</v>
      </c>
      <c r="AH186" s="1373">
        <f t="shared" si="143"/>
        <v>0</v>
      </c>
    </row>
    <row r="187" spans="1:34">
      <c r="A187" s="803"/>
      <c r="B187" s="750"/>
      <c r="K187" s="392"/>
      <c r="AC187" s="1010"/>
      <c r="AD187" s="1012"/>
      <c r="AE187" s="1012"/>
      <c r="AF187" s="1012"/>
      <c r="AG187" s="1012"/>
      <c r="AH187" s="1012"/>
    </row>
    <row r="188" spans="1:34">
      <c r="AC188" s="1010"/>
      <c r="AD188" s="1012"/>
      <c r="AE188" s="1012"/>
      <c r="AF188" s="1012"/>
      <c r="AG188" s="1012"/>
      <c r="AH188" s="1012"/>
    </row>
    <row r="189" spans="1:34">
      <c r="A189" s="865" t="s">
        <v>399</v>
      </c>
      <c r="B189" s="805"/>
      <c r="C189" s="393"/>
      <c r="D189" s="393"/>
      <c r="E189" s="478"/>
      <c r="F189" s="581"/>
      <c r="G189" s="651"/>
      <c r="H189" s="666"/>
      <c r="I189" s="710"/>
      <c r="J189" s="734"/>
      <c r="K189" s="394"/>
      <c r="AC189" s="1010"/>
      <c r="AD189" s="1012"/>
      <c r="AE189" s="1012"/>
      <c r="AF189" s="1012"/>
      <c r="AG189" s="1012"/>
      <c r="AH189" s="1012"/>
    </row>
    <row r="190" spans="1:34" ht="25.5" customHeight="1">
      <c r="A190" s="806" t="s">
        <v>246</v>
      </c>
      <c r="B190" s="807"/>
      <c r="C190" s="394"/>
      <c r="D190" s="394"/>
      <c r="E190" s="396"/>
      <c r="F190" s="394"/>
      <c r="G190" s="394"/>
      <c r="H190" s="394"/>
      <c r="I190" s="394"/>
      <c r="J190" s="394"/>
      <c r="K190" s="394"/>
      <c r="AC190" s="1010"/>
      <c r="AD190" s="1012"/>
      <c r="AE190" s="1012"/>
      <c r="AF190" s="1012"/>
      <c r="AG190" s="1012"/>
      <c r="AH190" s="1012"/>
    </row>
    <row r="191" spans="1:34" ht="25.5" customHeight="1">
      <c r="A191" s="808" t="s">
        <v>193</v>
      </c>
      <c r="B191" s="807"/>
      <c r="C191" s="394"/>
      <c r="D191" s="394"/>
      <c r="E191" s="394"/>
      <c r="F191" s="394"/>
      <c r="G191" s="394"/>
      <c r="H191" s="394"/>
      <c r="I191" s="394"/>
      <c r="J191" s="394"/>
      <c r="K191" s="394"/>
      <c r="AC191" s="1010"/>
      <c r="AD191" s="1012"/>
      <c r="AE191" s="1012"/>
      <c r="AF191" s="1012"/>
      <c r="AG191" s="1012"/>
      <c r="AH191" s="1012"/>
    </row>
    <row r="192" spans="1:34">
      <c r="A192" s="808"/>
      <c r="B192" s="807"/>
      <c r="C192" s="394"/>
      <c r="D192" s="394"/>
      <c r="E192" s="894"/>
      <c r="F192" s="396"/>
      <c r="G192" s="394"/>
      <c r="H192" s="394"/>
      <c r="I192" s="394"/>
      <c r="J192" s="394"/>
      <c r="K192" s="394"/>
      <c r="AC192" s="1010"/>
      <c r="AD192" s="1012"/>
      <c r="AE192" s="1012"/>
      <c r="AF192" s="1012"/>
      <c r="AG192" s="1012"/>
      <c r="AH192" s="1012"/>
    </row>
    <row r="193" spans="1:34">
      <c r="A193" s="806" t="s">
        <v>265</v>
      </c>
      <c r="B193" s="395"/>
      <c r="C193" s="910" t="s">
        <v>431</v>
      </c>
      <c r="D193" s="910" t="str">
        <f t="shared" ref="D193:I193" si="145">+D172</f>
        <v>FY20</v>
      </c>
      <c r="E193" s="910" t="str">
        <f t="shared" si="145"/>
        <v>FY21</v>
      </c>
      <c r="F193" s="910" t="str">
        <f t="shared" si="145"/>
        <v>FY22</v>
      </c>
      <c r="G193" s="910" t="str">
        <f t="shared" si="145"/>
        <v>FY23</v>
      </c>
      <c r="H193" s="910" t="str">
        <f t="shared" si="145"/>
        <v>FY24</v>
      </c>
      <c r="I193" s="910" t="str">
        <f t="shared" si="145"/>
        <v>FY25</v>
      </c>
      <c r="J193" s="910" t="str">
        <f t="shared" ref="J193" si="146">+J172</f>
        <v>FY26</v>
      </c>
      <c r="K193" s="394"/>
      <c r="M193" s="1515"/>
    </row>
    <row r="194" spans="1:34">
      <c r="A194" s="808" t="s">
        <v>52</v>
      </c>
      <c r="B194" s="809"/>
      <c r="C194" s="396">
        <v>15364338.720000001</v>
      </c>
      <c r="D194" s="396">
        <v>16041580.359999999</v>
      </c>
      <c r="E194" s="396">
        <v>16330496</v>
      </c>
      <c r="F194" s="950">
        <f t="shared" ref="F194:J194" si="147">ROUND(E203-(E197+E198+E199+E201+E202),0)</f>
        <v>16330496</v>
      </c>
      <c r="G194" s="950">
        <f t="shared" si="147"/>
        <v>16504465</v>
      </c>
      <c r="H194" s="950">
        <f t="shared" si="147"/>
        <v>17123382</v>
      </c>
      <c r="I194" s="950">
        <f t="shared" si="147"/>
        <v>17765509</v>
      </c>
      <c r="J194" s="950">
        <f t="shared" si="147"/>
        <v>18076405</v>
      </c>
      <c r="K194" s="394"/>
      <c r="M194" s="434"/>
      <c r="N194" s="434"/>
      <c r="AC194" s="1022"/>
      <c r="AD194" s="1012"/>
      <c r="AE194" s="1012"/>
      <c r="AF194" s="1012"/>
      <c r="AG194" s="1012"/>
      <c r="AH194" s="1012"/>
    </row>
    <row r="195" spans="1:34">
      <c r="A195" s="808" t="s">
        <v>946</v>
      </c>
      <c r="B195" s="810"/>
      <c r="C195" s="894">
        <v>0</v>
      </c>
      <c r="D195" s="894">
        <v>0</v>
      </c>
      <c r="E195" s="894"/>
      <c r="F195" s="1582">
        <v>94526</v>
      </c>
      <c r="G195" s="951">
        <f t="shared" ref="G195:I195" si="148">ROUND(G194*G204,0)</f>
        <v>330089</v>
      </c>
      <c r="H195" s="951">
        <f t="shared" si="148"/>
        <v>342468</v>
      </c>
      <c r="I195" s="951">
        <f t="shared" si="148"/>
        <v>0</v>
      </c>
      <c r="J195" s="951">
        <f t="shared" ref="J195" si="149">ROUND(J194*J204,0)</f>
        <v>0</v>
      </c>
      <c r="K195" s="394"/>
      <c r="M195" s="1003"/>
      <c r="N195" s="434"/>
      <c r="AC195" s="1022"/>
      <c r="AD195" s="1014"/>
      <c r="AE195" s="1014"/>
      <c r="AF195" s="1014"/>
      <c r="AG195" s="1014"/>
      <c r="AH195" s="1014"/>
    </row>
    <row r="196" spans="1:34">
      <c r="A196" s="808" t="s">
        <v>947</v>
      </c>
      <c r="B196" s="810"/>
      <c r="C196" s="894">
        <v>0</v>
      </c>
      <c r="D196" s="894">
        <f>ROUND((+Staffing!C23+Staffing!C45),0)</f>
        <v>0</v>
      </c>
      <c r="E196" s="894"/>
      <c r="F196" s="951">
        <f>ROUND(F194*F207,0)</f>
        <v>285784</v>
      </c>
      <c r="G196" s="951">
        <f t="shared" ref="G196:I196" si="150">ROUND(G194*G207,0)</f>
        <v>288828</v>
      </c>
      <c r="H196" s="951">
        <f t="shared" si="150"/>
        <v>299659</v>
      </c>
      <c r="I196" s="951">
        <f t="shared" si="150"/>
        <v>310896</v>
      </c>
      <c r="J196" s="951">
        <f t="shared" ref="J196" si="151">ROUND(J194*J207,0)</f>
        <v>316337</v>
      </c>
      <c r="K196" s="394"/>
      <c r="M196" s="1003"/>
      <c r="N196" s="434"/>
      <c r="AC196" s="1022"/>
      <c r="AD196" s="1014"/>
      <c r="AE196" s="1014"/>
      <c r="AF196" s="1014"/>
      <c r="AG196" s="1014"/>
      <c r="AH196" s="1014"/>
    </row>
    <row r="197" spans="1:34">
      <c r="A197" s="808" t="s">
        <v>949</v>
      </c>
      <c r="B197" s="810"/>
      <c r="C197" s="894">
        <v>85772</v>
      </c>
      <c r="D197" s="894">
        <v>107730</v>
      </c>
      <c r="E197" s="894">
        <v>76283</v>
      </c>
      <c r="F197" s="895">
        <f t="shared" ref="F197:J197" si="152">ROUND(E197*1,0)</f>
        <v>76283</v>
      </c>
      <c r="G197" s="895">
        <f t="shared" si="152"/>
        <v>76283</v>
      </c>
      <c r="H197" s="895">
        <f t="shared" si="152"/>
        <v>76283</v>
      </c>
      <c r="I197" s="895">
        <f t="shared" si="152"/>
        <v>76283</v>
      </c>
      <c r="J197" s="895">
        <f t="shared" si="152"/>
        <v>76283</v>
      </c>
      <c r="K197" s="394"/>
      <c r="M197" s="1003"/>
      <c r="N197" s="434"/>
      <c r="AC197" s="1022"/>
      <c r="AD197" s="1014"/>
      <c r="AE197" s="1014"/>
      <c r="AF197" s="1014"/>
      <c r="AG197" s="1014"/>
      <c r="AH197" s="1014"/>
    </row>
    <row r="198" spans="1:34">
      <c r="A198" s="808" t="s">
        <v>874</v>
      </c>
      <c r="B198" s="810"/>
      <c r="C198" s="894">
        <v>266301.91000000003</v>
      </c>
      <c r="D198" s="894">
        <v>239894.73999999993</v>
      </c>
      <c r="E198" s="894">
        <v>218995</v>
      </c>
      <c r="F198" s="951">
        <f t="shared" ref="F198:J198" si="153">ROUND(E198*(1+F208),0)</f>
        <v>218995</v>
      </c>
      <c r="G198" s="951">
        <f t="shared" si="153"/>
        <v>218995</v>
      </c>
      <c r="H198" s="951">
        <f t="shared" si="153"/>
        <v>218995</v>
      </c>
      <c r="I198" s="951">
        <f t="shared" si="153"/>
        <v>218995</v>
      </c>
      <c r="J198" s="951">
        <f t="shared" si="153"/>
        <v>218995</v>
      </c>
      <c r="K198" s="394"/>
      <c r="M198" s="1003"/>
      <c r="N198" s="434"/>
      <c r="AC198" s="1022"/>
      <c r="AD198" s="1014"/>
      <c r="AE198" s="1014"/>
      <c r="AF198" s="1014"/>
      <c r="AG198" s="1014"/>
      <c r="AH198" s="1014"/>
    </row>
    <row r="199" spans="1:34">
      <c r="A199" s="808" t="s">
        <v>875</v>
      </c>
      <c r="B199" s="810"/>
      <c r="C199" s="894">
        <v>386625.37</v>
      </c>
      <c r="D199" s="894">
        <v>358221.90000000008</v>
      </c>
      <c r="E199" s="894">
        <v>411314</v>
      </c>
      <c r="F199" s="951">
        <f>ROUND((E199-22455)*(1+F209),0)</f>
        <v>388859</v>
      </c>
      <c r="G199" s="951">
        <f t="shared" ref="G199:J199" si="154">ROUND(F199*(1+G209),0)</f>
        <v>388859</v>
      </c>
      <c r="H199" s="951">
        <f t="shared" si="154"/>
        <v>388859</v>
      </c>
      <c r="I199" s="951">
        <f t="shared" si="154"/>
        <v>388859</v>
      </c>
      <c r="J199" s="951">
        <f t="shared" si="154"/>
        <v>388859</v>
      </c>
      <c r="K199" s="394"/>
      <c r="M199" s="1003"/>
      <c r="N199" s="434"/>
      <c r="AC199" s="1022"/>
      <c r="AD199" s="1014"/>
      <c r="AE199" s="1014"/>
      <c r="AF199" s="1014"/>
      <c r="AG199" s="1014"/>
      <c r="AH199" s="1014"/>
    </row>
    <row r="200" spans="1:34">
      <c r="A200" s="808" t="s">
        <v>948</v>
      </c>
      <c r="B200" s="810"/>
      <c r="C200" s="894">
        <v>0</v>
      </c>
      <c r="D200" s="894">
        <v>0</v>
      </c>
      <c r="E200" s="894">
        <v>0</v>
      </c>
      <c r="F200" s="367">
        <f>ROUND(61915.82/12*2,0)+49000-(574950-181500)+127790</f>
        <v>-206341</v>
      </c>
      <c r="G200" s="367">
        <v>0</v>
      </c>
      <c r="H200" s="367">
        <v>0</v>
      </c>
      <c r="I200" s="367">
        <v>0</v>
      </c>
      <c r="J200" s="367">
        <v>0</v>
      </c>
      <c r="K200" s="394"/>
      <c r="M200" s="1003"/>
      <c r="N200" s="434"/>
      <c r="AC200" s="1010"/>
      <c r="AD200" s="1014"/>
      <c r="AE200" s="1014"/>
      <c r="AF200" s="1014"/>
      <c r="AG200" s="1014"/>
      <c r="AH200" s="1014"/>
    </row>
    <row r="201" spans="1:34">
      <c r="A201" s="808" t="s">
        <v>951</v>
      </c>
      <c r="B201" s="810"/>
      <c r="C201" s="894">
        <v>11875</v>
      </c>
      <c r="D201" s="894">
        <v>11000</v>
      </c>
      <c r="E201" s="894">
        <v>13000</v>
      </c>
      <c r="F201" s="367">
        <f t="shared" ref="F201:J201" si="155">ROUND(E201*1,0)</f>
        <v>13000</v>
      </c>
      <c r="G201" s="367">
        <f t="shared" si="155"/>
        <v>13000</v>
      </c>
      <c r="H201" s="367">
        <f t="shared" si="155"/>
        <v>13000</v>
      </c>
      <c r="I201" s="367">
        <f t="shared" si="155"/>
        <v>13000</v>
      </c>
      <c r="J201" s="367">
        <f t="shared" si="155"/>
        <v>13000</v>
      </c>
      <c r="K201" s="394"/>
      <c r="M201" s="1003"/>
      <c r="N201" s="434"/>
      <c r="AC201" s="1010"/>
      <c r="AD201" s="1014"/>
      <c r="AE201" s="1014"/>
      <c r="AF201" s="1014"/>
      <c r="AG201" s="1014"/>
      <c r="AH201" s="1014"/>
    </row>
    <row r="202" spans="1:34">
      <c r="A202" s="808" t="s">
        <v>950</v>
      </c>
      <c r="B202" s="811"/>
      <c r="C202" s="896">
        <v>90440</v>
      </c>
      <c r="D202" s="896">
        <v>52048</v>
      </c>
      <c r="E202" s="896">
        <f>45397+92956</f>
        <v>138353</v>
      </c>
      <c r="F202" s="344">
        <f t="shared" ref="F202:J202" si="156">ROUND(E202*1,0)</f>
        <v>138353</v>
      </c>
      <c r="G202" s="344">
        <f t="shared" si="156"/>
        <v>138353</v>
      </c>
      <c r="H202" s="344">
        <f t="shared" si="156"/>
        <v>138353</v>
      </c>
      <c r="I202" s="344">
        <f t="shared" si="156"/>
        <v>138353</v>
      </c>
      <c r="J202" s="344">
        <f t="shared" si="156"/>
        <v>138353</v>
      </c>
      <c r="K202" s="394"/>
      <c r="M202" s="1563"/>
      <c r="N202" s="434"/>
      <c r="AC202" s="1029" t="str">
        <f>A193</f>
        <v>Source</v>
      </c>
      <c r="AD202" s="1017" t="str">
        <f>F193</f>
        <v>FY22</v>
      </c>
      <c r="AE202" s="1017" t="str">
        <f>G193</f>
        <v>FY23</v>
      </c>
      <c r="AF202" s="1017" t="str">
        <f>H193</f>
        <v>FY24</v>
      </c>
      <c r="AG202" s="1017" t="str">
        <f>I193</f>
        <v>FY25</v>
      </c>
      <c r="AH202" s="1017" t="str">
        <f>J193</f>
        <v>FY26</v>
      </c>
    </row>
    <row r="203" spans="1:34" ht="15.6">
      <c r="A203" s="806" t="s">
        <v>86</v>
      </c>
      <c r="B203" s="812"/>
      <c r="C203" s="399">
        <v>16205353</v>
      </c>
      <c r="D203" s="399">
        <f t="shared" ref="D203:I203" si="157">ROUND(SUM(D194:D202),0)</f>
        <v>16810475</v>
      </c>
      <c r="E203" s="399">
        <f t="shared" si="157"/>
        <v>17188441</v>
      </c>
      <c r="F203" s="399">
        <f t="shared" si="157"/>
        <v>17339955</v>
      </c>
      <c r="G203" s="399">
        <f t="shared" si="157"/>
        <v>17958872</v>
      </c>
      <c r="H203" s="399">
        <f t="shared" si="157"/>
        <v>18600999</v>
      </c>
      <c r="I203" s="399">
        <f t="shared" si="157"/>
        <v>18911895</v>
      </c>
      <c r="J203" s="399">
        <f t="shared" ref="J203" si="158">ROUND(SUM(J194:J202),0)</f>
        <v>19228232</v>
      </c>
      <c r="K203" s="394"/>
      <c r="M203" s="403"/>
      <c r="N203" s="434"/>
      <c r="AC203" s="1022" t="str">
        <f>A203</f>
        <v>Total Wages Line 3.010</v>
      </c>
      <c r="AD203" s="1016">
        <f>F203</f>
        <v>17339955</v>
      </c>
      <c r="AE203" s="1016">
        <f>G203</f>
        <v>17958872</v>
      </c>
      <c r="AF203" s="1016">
        <f>H203</f>
        <v>18600999</v>
      </c>
      <c r="AG203" s="1016">
        <f>I203</f>
        <v>18911895</v>
      </c>
      <c r="AH203" s="1016">
        <f>J203</f>
        <v>19228232</v>
      </c>
    </row>
    <row r="204" spans="1:34" ht="15.6">
      <c r="A204" s="1379" t="s">
        <v>1039</v>
      </c>
      <c r="B204" s="812"/>
      <c r="C204" s="400">
        <v>6.5546054072016524E-3</v>
      </c>
      <c r="D204" s="400">
        <f>+D203/C203-1</f>
        <v>3.7340871254085028E-2</v>
      </c>
      <c r="E204" s="400">
        <v>7.4999999999999997E-3</v>
      </c>
      <c r="F204" s="927">
        <v>0</v>
      </c>
      <c r="G204" s="927">
        <v>0.02</v>
      </c>
      <c r="H204" s="927">
        <v>0.02</v>
      </c>
      <c r="I204" s="927">
        <v>0</v>
      </c>
      <c r="J204" s="927">
        <v>0</v>
      </c>
      <c r="K204" s="394"/>
      <c r="M204" s="1517"/>
      <c r="N204" s="434"/>
      <c r="AC204" s="1010"/>
      <c r="AD204" s="1012"/>
      <c r="AE204" s="1012"/>
      <c r="AF204" s="1012"/>
      <c r="AG204" s="1012"/>
      <c r="AH204" s="1012"/>
    </row>
    <row r="205" spans="1:34" ht="15.6">
      <c r="A205" s="1412" t="s">
        <v>1040</v>
      </c>
      <c r="B205" s="1413"/>
      <c r="C205" s="1414">
        <v>105528</v>
      </c>
      <c r="D205" s="1414">
        <f>+D203-C203</f>
        <v>605122</v>
      </c>
      <c r="E205" s="1414">
        <f t="shared" ref="E205:J205" si="159">+E203-D203</f>
        <v>377966</v>
      </c>
      <c r="F205" s="1414">
        <f t="shared" si="159"/>
        <v>151514</v>
      </c>
      <c r="G205" s="1414">
        <f t="shared" si="159"/>
        <v>618917</v>
      </c>
      <c r="H205" s="1414">
        <f>+H203-G203</f>
        <v>642127</v>
      </c>
      <c r="I205" s="1414">
        <f t="shared" si="159"/>
        <v>310896</v>
      </c>
      <c r="J205" s="1414">
        <f t="shared" si="159"/>
        <v>316337</v>
      </c>
      <c r="K205" s="394"/>
      <c r="AC205" s="1010"/>
      <c r="AD205" s="1012"/>
      <c r="AE205" s="1012"/>
      <c r="AF205" s="1012"/>
      <c r="AG205" s="1012"/>
      <c r="AH205" s="1012"/>
    </row>
    <row r="206" spans="1:34" ht="15.6">
      <c r="A206" s="1412" t="s">
        <v>1036</v>
      </c>
      <c r="B206" s="1415"/>
      <c r="C206" s="1416">
        <v>6.5546054072016307E-3</v>
      </c>
      <c r="D206" s="1416">
        <f t="shared" ref="D206:J206" si="160">(D203-C203)/C203</f>
        <v>3.7340871254084994E-2</v>
      </c>
      <c r="E206" s="1416">
        <f t="shared" si="160"/>
        <v>2.2483957175511101E-2</v>
      </c>
      <c r="F206" s="1416">
        <f t="shared" si="160"/>
        <v>8.8148773934762312E-3</v>
      </c>
      <c r="G206" s="1416">
        <f t="shared" si="160"/>
        <v>3.5693114543838202E-2</v>
      </c>
      <c r="H206" s="1416">
        <f t="shared" si="160"/>
        <v>3.5755419382687288E-2</v>
      </c>
      <c r="I206" s="1416">
        <f t="shared" si="160"/>
        <v>1.6713941009297403E-2</v>
      </c>
      <c r="J206" s="1416">
        <f t="shared" si="160"/>
        <v>1.6726880093190028E-2</v>
      </c>
      <c r="K206" s="394"/>
      <c r="AC206" s="1010"/>
      <c r="AD206" s="1012"/>
      <c r="AE206" s="1012"/>
      <c r="AF206" s="1012"/>
      <c r="AG206" s="1012"/>
      <c r="AH206" s="1012"/>
    </row>
    <row r="207" spans="1:34" ht="15.6">
      <c r="A207" s="398" t="s">
        <v>952</v>
      </c>
      <c r="B207" s="812"/>
      <c r="C207" s="394"/>
      <c r="D207" s="394"/>
      <c r="E207" s="394">
        <v>0.01</v>
      </c>
      <c r="F207" s="927">
        <v>1.7500000000000002E-2</v>
      </c>
      <c r="G207" s="927">
        <v>1.7500000000000002E-2</v>
      </c>
      <c r="H207" s="927">
        <v>1.7500000000000002E-2</v>
      </c>
      <c r="I207" s="927">
        <v>1.7500000000000002E-2</v>
      </c>
      <c r="J207" s="927">
        <v>1.7500000000000002E-2</v>
      </c>
      <c r="K207" s="394"/>
      <c r="M207" s="1517"/>
      <c r="N207" s="434"/>
      <c r="AC207" s="1010"/>
      <c r="AD207" s="1012"/>
      <c r="AE207" s="1012"/>
      <c r="AF207" s="1012"/>
      <c r="AG207" s="1012"/>
      <c r="AH207" s="1012"/>
    </row>
    <row r="208" spans="1:34" ht="15.6">
      <c r="A208" s="398" t="s">
        <v>953</v>
      </c>
      <c r="B208" s="812"/>
      <c r="C208" s="394"/>
      <c r="D208" s="394"/>
      <c r="E208" s="394">
        <v>6.4333465585781791E-2</v>
      </c>
      <c r="F208" s="927">
        <v>0</v>
      </c>
      <c r="G208" s="927">
        <v>0</v>
      </c>
      <c r="H208" s="927">
        <v>0</v>
      </c>
      <c r="I208" s="927">
        <v>0</v>
      </c>
      <c r="J208" s="927">
        <v>0</v>
      </c>
      <c r="K208" s="394"/>
      <c r="L208" s="1514"/>
      <c r="M208" s="1517"/>
      <c r="N208" s="434"/>
      <c r="AC208" s="1010"/>
      <c r="AD208" s="1012"/>
      <c r="AE208" s="1012"/>
      <c r="AF208" s="1012"/>
      <c r="AG208" s="1012"/>
      <c r="AH208" s="1012"/>
    </row>
    <row r="209" spans="1:35" ht="16.2" thickBot="1">
      <c r="A209" s="924" t="s">
        <v>954</v>
      </c>
      <c r="B209" s="813"/>
      <c r="C209" s="402"/>
      <c r="D209" s="402"/>
      <c r="E209" s="402">
        <v>0.03</v>
      </c>
      <c r="F209" s="928">
        <v>0</v>
      </c>
      <c r="G209" s="928">
        <v>0</v>
      </c>
      <c r="H209" s="928">
        <v>0</v>
      </c>
      <c r="I209" s="928">
        <v>0</v>
      </c>
      <c r="J209" s="928">
        <v>0</v>
      </c>
      <c r="K209" s="402"/>
      <c r="L209" s="434"/>
      <c r="M209" s="1517"/>
      <c r="N209" s="434"/>
      <c r="AC209" s="1010"/>
      <c r="AD209" s="1012"/>
      <c r="AE209" s="1012"/>
      <c r="AF209" s="1012"/>
      <c r="AG209" s="1012"/>
      <c r="AH209" s="1012"/>
    </row>
    <row r="210" spans="1:35" ht="15" customHeight="1">
      <c r="A210" s="866" t="s">
        <v>400</v>
      </c>
      <c r="B210" s="815"/>
      <c r="C210" s="404"/>
      <c r="D210" s="404"/>
      <c r="E210" s="1027">
        <f>(-D198+255328)/D198</f>
        <v>6.4333465585781791E-2</v>
      </c>
      <c r="F210" s="582"/>
      <c r="G210" s="657"/>
      <c r="H210" s="667"/>
      <c r="I210" s="711"/>
      <c r="J210" s="711"/>
      <c r="K210" s="1527"/>
      <c r="M210" s="1577"/>
      <c r="AC210" s="1010"/>
      <c r="AD210" s="1012"/>
      <c r="AE210" s="1012"/>
      <c r="AF210" s="1012"/>
      <c r="AG210" s="1012"/>
      <c r="AH210" s="1012"/>
    </row>
    <row r="211" spans="1:35" ht="25.5" customHeight="1">
      <c r="A211" s="745" t="s">
        <v>239</v>
      </c>
      <c r="B211" s="743"/>
      <c r="C211" s="321"/>
      <c r="D211" s="321"/>
      <c r="E211" s="321"/>
      <c r="F211" s="321"/>
      <c r="G211" s="321"/>
      <c r="H211" s="321"/>
      <c r="I211" s="321"/>
      <c r="J211" s="321"/>
      <c r="K211" s="321"/>
      <c r="M211" s="1006"/>
      <c r="AC211" s="1010"/>
      <c r="AD211" s="1012"/>
      <c r="AE211" s="1012"/>
      <c r="AF211" s="1012"/>
      <c r="AG211" s="1012"/>
      <c r="AH211" s="1012"/>
    </row>
    <row r="212" spans="1:35">
      <c r="A212" s="745" t="s">
        <v>234</v>
      </c>
      <c r="B212" s="743"/>
      <c r="C212" s="321"/>
      <c r="D212" s="321"/>
      <c r="E212" s="321"/>
      <c r="F212" s="321"/>
      <c r="G212" s="321"/>
      <c r="H212" s="321"/>
      <c r="I212" s="321"/>
      <c r="J212" s="321"/>
      <c r="K212" s="321"/>
      <c r="M212" s="1006"/>
      <c r="AC212" s="1010"/>
      <c r="AD212" s="1012"/>
      <c r="AE212" s="1012"/>
      <c r="AF212" s="1012"/>
      <c r="AG212" s="1012"/>
      <c r="AH212" s="1012"/>
    </row>
    <row r="213" spans="1:35">
      <c r="A213" s="745" t="s">
        <v>998</v>
      </c>
      <c r="B213" s="743"/>
      <c r="C213" s="321"/>
      <c r="D213" s="321"/>
      <c r="E213" s="321"/>
      <c r="F213" s="321"/>
      <c r="G213" s="321"/>
      <c r="H213" s="321"/>
      <c r="I213" s="321"/>
      <c r="J213" s="321"/>
      <c r="K213" s="321"/>
      <c r="M213" s="1006"/>
      <c r="AC213" s="1010"/>
      <c r="AD213" s="1012"/>
      <c r="AE213" s="1012"/>
      <c r="AF213" s="1012"/>
      <c r="AG213" s="1012"/>
      <c r="AH213" s="1012"/>
    </row>
    <row r="214" spans="1:35">
      <c r="A214" s="745" t="s">
        <v>999</v>
      </c>
      <c r="B214" s="743"/>
      <c r="C214" s="321"/>
      <c r="D214" s="321"/>
      <c r="E214" s="321"/>
      <c r="F214" s="321"/>
      <c r="G214" s="321"/>
      <c r="H214" s="321"/>
      <c r="I214" s="321"/>
      <c r="J214" s="321"/>
      <c r="K214" s="321"/>
      <c r="M214" s="1006"/>
      <c r="AC214" s="1010"/>
      <c r="AD214" s="1012"/>
      <c r="AE214" s="1012"/>
      <c r="AF214" s="1012"/>
      <c r="AG214" s="1012"/>
      <c r="AH214" s="1012"/>
    </row>
    <row r="215" spans="1:35">
      <c r="A215" s="745"/>
      <c r="B215" s="743"/>
      <c r="C215" s="321"/>
      <c r="D215" s="321"/>
      <c r="E215" s="321"/>
      <c r="F215" s="321"/>
      <c r="G215" s="321"/>
      <c r="H215" s="321"/>
      <c r="I215" s="321"/>
      <c r="J215" s="321"/>
      <c r="K215" s="321"/>
      <c r="M215" s="1006"/>
      <c r="AC215" s="1010"/>
      <c r="AD215" s="1012"/>
      <c r="AE215" s="1012"/>
      <c r="AF215" s="1012"/>
      <c r="AG215" s="1012"/>
      <c r="AH215" s="1012"/>
    </row>
    <row r="216" spans="1:35">
      <c r="A216" s="931"/>
      <c r="B216" s="743"/>
      <c r="C216" s="321"/>
      <c r="D216" s="321"/>
      <c r="E216" s="324"/>
      <c r="F216" s="321"/>
      <c r="G216" s="321"/>
      <c r="H216" s="321"/>
      <c r="I216" s="321"/>
      <c r="J216" s="321"/>
      <c r="K216" s="321"/>
      <c r="M216" s="1006"/>
      <c r="AC216" s="1010"/>
      <c r="AD216" s="1012"/>
      <c r="AE216" s="1012"/>
      <c r="AF216" s="1012"/>
      <c r="AG216" s="1012"/>
      <c r="AH216" s="1012"/>
    </row>
    <row r="217" spans="1:35">
      <c r="A217" s="744" t="s">
        <v>235</v>
      </c>
      <c r="B217" s="743"/>
      <c r="C217" s="321"/>
      <c r="D217" s="321"/>
      <c r="E217" s="321"/>
      <c r="F217" s="321"/>
      <c r="G217" s="321"/>
      <c r="H217" s="321"/>
      <c r="I217" s="321"/>
      <c r="J217" s="321"/>
      <c r="K217" s="321"/>
      <c r="M217" s="1006"/>
      <c r="AC217" s="1010"/>
      <c r="AD217" s="1012"/>
      <c r="AE217" s="1012"/>
      <c r="AF217" s="1012"/>
      <c r="AG217" s="1012"/>
      <c r="AH217" s="1012"/>
    </row>
    <row r="218" spans="1:35">
      <c r="A218" s="745"/>
      <c r="B218" s="743"/>
      <c r="C218" s="324"/>
      <c r="D218" s="324"/>
      <c r="E218" s="324"/>
      <c r="F218" s="321"/>
      <c r="G218" s="321"/>
      <c r="H218" s="321"/>
      <c r="I218" s="321"/>
      <c r="J218" s="321"/>
      <c r="K218" s="321"/>
      <c r="M218" s="1006"/>
      <c r="AC218" s="1010"/>
      <c r="AD218" s="1012"/>
      <c r="AE218" s="1012"/>
      <c r="AF218" s="1012"/>
      <c r="AG218" s="1012"/>
      <c r="AH218" s="1012"/>
    </row>
    <row r="219" spans="1:35">
      <c r="A219" s="744" t="s">
        <v>265</v>
      </c>
      <c r="B219" s="323"/>
      <c r="C219" s="915" t="s">
        <v>431</v>
      </c>
      <c r="D219" s="915" t="str">
        <f t="shared" ref="D219:I219" si="161">+D193</f>
        <v>FY20</v>
      </c>
      <c r="E219" s="915" t="str">
        <f t="shared" si="161"/>
        <v>FY21</v>
      </c>
      <c r="F219" s="915" t="str">
        <f t="shared" si="161"/>
        <v>FY22</v>
      </c>
      <c r="G219" s="915" t="str">
        <f t="shared" si="161"/>
        <v>FY23</v>
      </c>
      <c r="H219" s="915" t="str">
        <f t="shared" si="161"/>
        <v>FY24</v>
      </c>
      <c r="I219" s="915" t="str">
        <f t="shared" si="161"/>
        <v>FY25</v>
      </c>
      <c r="J219" s="915" t="str">
        <f t="shared" ref="J219" si="162">+J193</f>
        <v>FY26</v>
      </c>
      <c r="K219" s="323"/>
      <c r="M219" s="1515"/>
      <c r="AC219" s="1010"/>
      <c r="AD219" s="1012"/>
      <c r="AE219" s="1012"/>
      <c r="AF219" s="1012"/>
      <c r="AG219" s="1012"/>
      <c r="AH219" s="1012"/>
    </row>
    <row r="220" spans="1:35">
      <c r="A220" s="745" t="s">
        <v>52</v>
      </c>
      <c r="B220" s="746"/>
      <c r="C220" s="324">
        <v>3693624</v>
      </c>
      <c r="D220" s="324">
        <v>3694134</v>
      </c>
      <c r="E220" s="324">
        <f>3884176-E222-E223-E225</f>
        <v>3783433</v>
      </c>
      <c r="F220" s="411">
        <f>ROUND(F194*F228,0)</f>
        <v>3760667</v>
      </c>
      <c r="G220" s="411">
        <v>3694134</v>
      </c>
      <c r="H220" s="411">
        <v>3694134</v>
      </c>
      <c r="I220" s="411">
        <v>3694134</v>
      </c>
      <c r="J220" s="411">
        <v>3694134</v>
      </c>
      <c r="K220" s="324"/>
      <c r="M220" s="434"/>
      <c r="N220" s="434"/>
      <c r="AC220" s="1010"/>
      <c r="AD220" s="1012"/>
      <c r="AE220" s="1012"/>
      <c r="AF220" s="1012"/>
      <c r="AG220" s="1012"/>
      <c r="AH220" s="1012"/>
    </row>
    <row r="221" spans="1:35">
      <c r="A221" s="745" t="s">
        <v>955</v>
      </c>
      <c r="B221" s="816"/>
      <c r="C221" s="405">
        <v>0</v>
      </c>
      <c r="D221" s="405">
        <f t="shared" ref="D221" si="163">ROUND((D195+D196)*D228,0)</f>
        <v>0</v>
      </c>
      <c r="E221" s="405">
        <f>ROUND((E195+E196)*E230,0)</f>
        <v>0</v>
      </c>
      <c r="F221" s="412">
        <f>ROUND((F195+F196)*F230,0)</f>
        <v>82508</v>
      </c>
      <c r="G221" s="412">
        <f t="shared" ref="G221:I221" si="164">ROUND((G195+G196)*G230,0)</f>
        <v>134274</v>
      </c>
      <c r="H221" s="412">
        <f t="shared" si="164"/>
        <v>139309</v>
      </c>
      <c r="I221" s="412">
        <f t="shared" si="164"/>
        <v>67449</v>
      </c>
      <c r="J221" s="412">
        <f t="shared" ref="J221" si="165">ROUND((J195+J196)*J230,0)</f>
        <v>68629</v>
      </c>
      <c r="K221" s="405"/>
      <c r="M221" s="1566"/>
      <c r="N221" s="434"/>
      <c r="AC221" s="1010"/>
      <c r="AD221" s="1012"/>
      <c r="AE221" s="1012"/>
      <c r="AF221" s="1012"/>
      <c r="AG221" s="1012"/>
      <c r="AH221" s="1012"/>
    </row>
    <row r="222" spans="1:35">
      <c r="A222" s="745" t="s">
        <v>957</v>
      </c>
      <c r="B222" s="816"/>
      <c r="C222" s="405">
        <v>12008</v>
      </c>
      <c r="D222" s="405">
        <f t="shared" ref="D222:I222" si="166">ROUND(D197*D$229,0)</f>
        <v>15082</v>
      </c>
      <c r="E222" s="405">
        <f>ROUND(E197*E$229,0)</f>
        <v>10680</v>
      </c>
      <c r="F222" s="412">
        <f>ROUND(F197*F$229,0)</f>
        <v>10680</v>
      </c>
      <c r="G222" s="412">
        <f t="shared" si="166"/>
        <v>10680</v>
      </c>
      <c r="H222" s="412">
        <f t="shared" si="166"/>
        <v>10680</v>
      </c>
      <c r="I222" s="412">
        <f t="shared" si="166"/>
        <v>10680</v>
      </c>
      <c r="J222" s="412">
        <f t="shared" ref="J222" si="167">ROUND(J197*J$229,0)</f>
        <v>10680</v>
      </c>
      <c r="K222" s="405"/>
      <c r="M222" s="1566"/>
      <c r="N222" s="434"/>
      <c r="AC222" s="1010"/>
      <c r="AD222" s="1012"/>
      <c r="AE222" s="1012"/>
      <c r="AF222" s="1012"/>
      <c r="AG222" s="1012"/>
      <c r="AH222" s="1012"/>
    </row>
    <row r="223" spans="1:35">
      <c r="A223" s="745" t="s">
        <v>956</v>
      </c>
      <c r="B223" s="816"/>
      <c r="C223" s="405">
        <v>91410</v>
      </c>
      <c r="D223" s="405">
        <f t="shared" ref="D223:I223" si="168">ROUND((D198+D199)*D$229,0)</f>
        <v>83736</v>
      </c>
      <c r="E223" s="405">
        <f>ROUND((E198+E199)*E$229,0)</f>
        <v>88243</v>
      </c>
      <c r="F223" s="412">
        <f>ROUND((F198+F199)*F$229,0)</f>
        <v>85100</v>
      </c>
      <c r="G223" s="412">
        <f t="shared" si="168"/>
        <v>85100</v>
      </c>
      <c r="H223" s="412">
        <f t="shared" si="168"/>
        <v>85100</v>
      </c>
      <c r="I223" s="412">
        <f t="shared" si="168"/>
        <v>85100</v>
      </c>
      <c r="J223" s="412">
        <f t="shared" ref="J223" si="169">ROUND((J198+J199)*J$229,0)</f>
        <v>85100</v>
      </c>
      <c r="K223" s="405"/>
      <c r="M223" s="1566"/>
      <c r="N223" s="434"/>
      <c r="AC223" s="1010"/>
      <c r="AD223" s="1012"/>
      <c r="AE223" s="1012"/>
      <c r="AF223" s="1012"/>
      <c r="AG223" s="1012"/>
      <c r="AH223" s="1012"/>
    </row>
    <row r="224" spans="1:35" s="319" customFormat="1">
      <c r="A224" s="745" t="s">
        <v>948</v>
      </c>
      <c r="B224" s="816"/>
      <c r="C224" s="405">
        <v>0</v>
      </c>
      <c r="D224" s="405">
        <f t="shared" ref="D224:I224" si="170">ROUND(D200*D$229,0)</f>
        <v>0</v>
      </c>
      <c r="E224" s="405">
        <f>ROUND(E200*E$230,0)</f>
        <v>0</v>
      </c>
      <c r="F224" s="397">
        <f>ROUND(F200*F$230,0)</f>
        <v>-44766</v>
      </c>
      <c r="G224" s="412">
        <f t="shared" ref="G224" si="171">ROUND(G200*G$230,0)</f>
        <v>0</v>
      </c>
      <c r="H224" s="412">
        <f t="shared" si="170"/>
        <v>0</v>
      </c>
      <c r="I224" s="412">
        <f t="shared" si="170"/>
        <v>0</v>
      </c>
      <c r="J224" s="412">
        <f t="shared" ref="J224" si="172">ROUND(J200*J$229,0)</f>
        <v>0</v>
      </c>
      <c r="K224" s="406"/>
      <c r="L224" s="352"/>
      <c r="M224" s="1566"/>
      <c r="N224" s="434"/>
      <c r="O224" s="352"/>
      <c r="P224" s="352"/>
      <c r="Q224" s="352"/>
      <c r="R224" s="352"/>
      <c r="S224" s="352"/>
      <c r="T224" s="352"/>
      <c r="U224" s="352"/>
      <c r="V224" s="352"/>
      <c r="W224" s="352"/>
      <c r="AC224" s="1010"/>
      <c r="AD224" s="1012"/>
      <c r="AE224" s="1012"/>
      <c r="AF224" s="1012"/>
      <c r="AG224" s="1012"/>
      <c r="AH224" s="1012"/>
      <c r="AI224" s="361"/>
    </row>
    <row r="225" spans="1:35">
      <c r="A225" s="745" t="s">
        <v>951</v>
      </c>
      <c r="B225" s="817"/>
      <c r="C225" s="407">
        <v>1663</v>
      </c>
      <c r="D225" s="407">
        <f t="shared" ref="D225:I225" si="173">ROUND(D201*D$229,0)</f>
        <v>1540</v>
      </c>
      <c r="E225" s="407">
        <f>ROUND(E201*E$229,0)</f>
        <v>1820</v>
      </c>
      <c r="F225" s="953">
        <f>ROUND(F201*F$229,0)</f>
        <v>1820</v>
      </c>
      <c r="G225" s="953">
        <f t="shared" si="173"/>
        <v>1820</v>
      </c>
      <c r="H225" s="953">
        <f t="shared" si="173"/>
        <v>1820</v>
      </c>
      <c r="I225" s="953">
        <f t="shared" si="173"/>
        <v>1820</v>
      </c>
      <c r="J225" s="953">
        <f t="shared" ref="J225" si="174">ROUND(J201*J$229,0)</f>
        <v>1820</v>
      </c>
      <c r="K225" s="407"/>
      <c r="M225" s="1570"/>
      <c r="N225" s="434"/>
      <c r="AC225" s="1010"/>
      <c r="AD225" s="1012"/>
      <c r="AE225" s="1012"/>
      <c r="AF225" s="1012"/>
      <c r="AG225" s="1012"/>
      <c r="AH225" s="1012"/>
    </row>
    <row r="226" spans="1:35" ht="15.6">
      <c r="A226" s="744" t="s">
        <v>194</v>
      </c>
      <c r="B226" s="748"/>
      <c r="C226" s="327">
        <v>3798705</v>
      </c>
      <c r="D226" s="327">
        <f>SUM(D220:D225)</f>
        <v>3794492</v>
      </c>
      <c r="E226" s="327">
        <f>ROUND(SUM(E220:E225),0)</f>
        <v>3884176</v>
      </c>
      <c r="F226" s="327">
        <f>ROUND(SUM(F220:F225),0)</f>
        <v>3896009</v>
      </c>
      <c r="G226" s="327">
        <f t="shared" ref="G226:I226" si="175">ROUND(SUM(G220:G225),0)</f>
        <v>3926008</v>
      </c>
      <c r="H226" s="327">
        <f t="shared" si="175"/>
        <v>3931043</v>
      </c>
      <c r="I226" s="327">
        <f t="shared" si="175"/>
        <v>3859183</v>
      </c>
      <c r="J226" s="327">
        <f t="shared" ref="J226" si="176">ROUND(SUM(J220:J225),0)</f>
        <v>3860363</v>
      </c>
      <c r="K226" s="327"/>
      <c r="M226" s="403"/>
      <c r="N226" s="434"/>
      <c r="AC226" s="1010"/>
      <c r="AD226" s="1012"/>
      <c r="AE226" s="1012"/>
      <c r="AF226" s="1012"/>
      <c r="AG226" s="1012"/>
      <c r="AH226" s="1012"/>
    </row>
    <row r="227" spans="1:35" ht="15.6">
      <c r="A227" s="1409" t="s">
        <v>1036</v>
      </c>
      <c r="B227" s="1411"/>
      <c r="C227" s="1410">
        <v>4.4324984440043458E-2</v>
      </c>
      <c r="D227" s="1410">
        <v>8.7616223428889264E-2</v>
      </c>
      <c r="E227" s="1410">
        <v>-1.9870336428056853E-2</v>
      </c>
      <c r="F227" s="1410">
        <v>2.8579740031464611E-2</v>
      </c>
      <c r="G227" s="1410">
        <v>4.8380775831948976E-2</v>
      </c>
      <c r="H227" s="1410">
        <v>5.2524503000240925E-2</v>
      </c>
      <c r="I227" s="1410">
        <v>3.7342374666096183E-2</v>
      </c>
      <c r="J227" s="1410">
        <v>3.7342374666096183E-2</v>
      </c>
      <c r="K227" s="327"/>
      <c r="M227" s="403"/>
      <c r="AC227" s="1010"/>
      <c r="AD227" s="1012"/>
      <c r="AE227" s="1012"/>
      <c r="AF227" s="1012"/>
      <c r="AG227" s="1012"/>
      <c r="AH227" s="1012"/>
    </row>
    <row r="228" spans="1:35">
      <c r="A228" s="326" t="s">
        <v>958</v>
      </c>
      <c r="B228" s="743"/>
      <c r="C228" s="635">
        <v>0.24040240633278617</v>
      </c>
      <c r="D228" s="635">
        <f>+D220/D194</f>
        <v>0.23028491689081937</v>
      </c>
      <c r="E228" s="635">
        <f>ROUND(D228,8)</f>
        <v>0.23028492</v>
      </c>
      <c r="F228" s="926">
        <f t="shared" ref="F228:J228" si="177">ROUND(E228,8)</f>
        <v>0.23028492</v>
      </c>
      <c r="G228" s="926">
        <f t="shared" si="177"/>
        <v>0.23028492</v>
      </c>
      <c r="H228" s="926">
        <f t="shared" si="177"/>
        <v>0.23028492</v>
      </c>
      <c r="I228" s="926">
        <f t="shared" si="177"/>
        <v>0.23028492</v>
      </c>
      <c r="J228" s="926">
        <f t="shared" si="177"/>
        <v>0.23028492</v>
      </c>
      <c r="K228" s="321"/>
      <c r="M228" s="1571"/>
      <c r="N228" s="434"/>
      <c r="AC228" s="1010"/>
      <c r="AD228" s="1012"/>
      <c r="AE228" s="1012"/>
      <c r="AF228" s="1012"/>
      <c r="AG228" s="1012"/>
      <c r="AH228" s="1012"/>
      <c r="AI228" s="352"/>
    </row>
    <row r="229" spans="1:35">
      <c r="A229" s="326" t="s">
        <v>959</v>
      </c>
      <c r="B229" s="743"/>
      <c r="C229" s="635">
        <v>0.14000000000000001</v>
      </c>
      <c r="D229" s="635">
        <v>0.14000000000000001</v>
      </c>
      <c r="E229" s="635">
        <v>0.14000000000000001</v>
      </c>
      <c r="F229" s="952">
        <v>0.14000000000000001</v>
      </c>
      <c r="G229" s="952">
        <v>0.14000000000000001</v>
      </c>
      <c r="H229" s="952">
        <v>0.14000000000000001</v>
      </c>
      <c r="I229" s="952">
        <v>0.14000000000000001</v>
      </c>
      <c r="J229" s="952">
        <v>0.14000000000000001</v>
      </c>
      <c r="K229" s="321"/>
      <c r="M229" s="1571"/>
      <c r="N229" s="434"/>
      <c r="AC229" s="1010"/>
      <c r="AD229" s="1012"/>
      <c r="AE229" s="1012"/>
      <c r="AF229" s="1012"/>
      <c r="AG229" s="1012"/>
      <c r="AH229" s="1012"/>
    </row>
    <row r="230" spans="1:35">
      <c r="A230" s="745"/>
      <c r="B230" s="743"/>
      <c r="C230" s="321"/>
      <c r="D230" s="321" t="s">
        <v>717</v>
      </c>
      <c r="E230" s="321">
        <f>14%+7.695%</f>
        <v>0.21695000000000003</v>
      </c>
      <c r="F230" s="1028">
        <f>+E230</f>
        <v>0.21695000000000003</v>
      </c>
      <c r="G230" s="1028">
        <f t="shared" ref="G230:J230" si="178">+F230</f>
        <v>0.21695000000000003</v>
      </c>
      <c r="H230" s="1028">
        <f t="shared" si="178"/>
        <v>0.21695000000000003</v>
      </c>
      <c r="I230" s="1028">
        <f t="shared" si="178"/>
        <v>0.21695000000000003</v>
      </c>
      <c r="J230" s="1028">
        <f t="shared" si="178"/>
        <v>0.21695000000000003</v>
      </c>
      <c r="K230" s="321"/>
      <c r="M230" s="1517"/>
      <c r="N230" s="434"/>
      <c r="AC230" s="1010"/>
      <c r="AD230" s="1012"/>
      <c r="AE230" s="1012"/>
      <c r="AF230" s="1012"/>
      <c r="AG230" s="1012"/>
      <c r="AH230" s="1012"/>
    </row>
    <row r="231" spans="1:35">
      <c r="A231" s="745"/>
      <c r="B231" s="743"/>
      <c r="C231" s="321"/>
      <c r="D231" s="321"/>
      <c r="E231" s="321"/>
      <c r="F231" s="321"/>
      <c r="G231" s="321"/>
      <c r="H231" s="321"/>
      <c r="I231" s="321"/>
      <c r="J231" s="321"/>
      <c r="K231" s="321"/>
      <c r="AC231" s="1010"/>
      <c r="AD231" s="1012"/>
      <c r="AE231" s="1012"/>
      <c r="AF231" s="1012"/>
      <c r="AG231" s="1012"/>
      <c r="AH231" s="1012"/>
    </row>
    <row r="232" spans="1:35">
      <c r="A232" s="745"/>
      <c r="B232" s="743"/>
      <c r="C232" s="321"/>
      <c r="D232" s="321"/>
      <c r="E232" s="321"/>
      <c r="F232" s="321"/>
      <c r="G232" s="321"/>
      <c r="H232" s="321"/>
      <c r="I232" s="321"/>
      <c r="J232" s="321"/>
      <c r="K232" s="321"/>
      <c r="AC232" s="1010"/>
      <c r="AD232" s="1012"/>
      <c r="AE232" s="1012"/>
      <c r="AF232" s="1012"/>
      <c r="AG232" s="1012"/>
      <c r="AH232" s="1012"/>
    </row>
    <row r="233" spans="1:35">
      <c r="A233" s="744"/>
      <c r="B233" s="743"/>
      <c r="C233" s="321"/>
      <c r="D233" s="321"/>
      <c r="E233" s="321"/>
      <c r="F233" s="321"/>
      <c r="G233" s="321"/>
      <c r="H233" s="321"/>
      <c r="I233" s="321"/>
      <c r="J233" s="321"/>
      <c r="K233" s="321"/>
      <c r="L233" s="434"/>
      <c r="AC233" s="1010"/>
      <c r="AD233" s="1012"/>
      <c r="AE233" s="1012"/>
      <c r="AF233" s="1012"/>
      <c r="AG233" s="1012"/>
      <c r="AH233" s="1012"/>
    </row>
    <row r="234" spans="1:35">
      <c r="A234" s="744"/>
      <c r="B234" s="743"/>
      <c r="C234" s="321"/>
      <c r="D234" s="321"/>
      <c r="E234" s="321"/>
      <c r="F234" s="321"/>
      <c r="G234" s="321"/>
      <c r="H234" s="321"/>
      <c r="I234" s="321"/>
      <c r="J234" s="321"/>
      <c r="K234" s="321"/>
      <c r="AC234" s="1010"/>
      <c r="AD234" s="1012"/>
      <c r="AE234" s="1012"/>
      <c r="AF234" s="1012"/>
      <c r="AG234" s="1012"/>
      <c r="AH234" s="1012"/>
    </row>
    <row r="235" spans="1:35">
      <c r="A235" s="744" t="s">
        <v>168</v>
      </c>
      <c r="B235" s="743"/>
      <c r="C235" s="321"/>
      <c r="D235" s="321"/>
      <c r="E235" s="321"/>
      <c r="F235" s="321"/>
      <c r="G235" s="321"/>
      <c r="H235" s="321"/>
      <c r="I235" s="321"/>
      <c r="J235" s="321"/>
      <c r="K235" s="321"/>
      <c r="AC235" s="1010"/>
      <c r="AD235" s="1012"/>
      <c r="AE235" s="1012"/>
      <c r="AF235" s="1012"/>
      <c r="AG235" s="1012"/>
      <c r="AH235" s="1012"/>
    </row>
    <row r="236" spans="1:35">
      <c r="A236" s="745" t="s">
        <v>219</v>
      </c>
      <c r="B236" s="743"/>
      <c r="C236" s="321"/>
      <c r="D236" s="321"/>
      <c r="E236" s="321"/>
      <c r="F236" s="321"/>
      <c r="G236" s="321"/>
      <c r="H236" s="321"/>
      <c r="I236" s="321"/>
      <c r="J236" s="321"/>
      <c r="K236" s="321"/>
      <c r="AC236" s="1010"/>
      <c r="AD236" s="1012"/>
      <c r="AE236" s="1012"/>
      <c r="AF236" s="1012"/>
      <c r="AG236" s="1012"/>
      <c r="AH236" s="1012"/>
    </row>
    <row r="237" spans="1:35">
      <c r="A237" s="745" t="s">
        <v>220</v>
      </c>
      <c r="B237" s="743"/>
      <c r="C237" s="321"/>
      <c r="D237" s="321"/>
      <c r="E237" s="321"/>
      <c r="F237" s="321"/>
      <c r="G237" s="321"/>
      <c r="H237" s="321"/>
      <c r="I237" s="321"/>
      <c r="J237" s="321"/>
      <c r="K237" s="321"/>
      <c r="AC237" s="1010"/>
      <c r="AD237" s="1012"/>
      <c r="AE237" s="1012"/>
      <c r="AF237" s="1012"/>
      <c r="AG237" s="1012"/>
      <c r="AH237" s="1012"/>
    </row>
    <row r="238" spans="1:35">
      <c r="A238" s="745" t="s">
        <v>231</v>
      </c>
      <c r="B238" s="743"/>
      <c r="C238" s="321"/>
      <c r="D238" s="321"/>
      <c r="E238" s="321"/>
      <c r="F238" s="321"/>
      <c r="G238" s="321"/>
      <c r="H238" s="321"/>
      <c r="I238" s="321"/>
      <c r="J238" s="321"/>
      <c r="K238" s="321"/>
      <c r="AC238" s="1010"/>
      <c r="AD238" s="1012"/>
      <c r="AE238" s="1012"/>
      <c r="AF238" s="1012"/>
      <c r="AG238" s="1012"/>
      <c r="AH238" s="1012"/>
    </row>
    <row r="239" spans="1:35">
      <c r="A239" s="745"/>
      <c r="B239" s="743"/>
      <c r="C239" s="321"/>
      <c r="D239" s="321"/>
      <c r="E239" s="321"/>
      <c r="F239" s="1581">
        <f>11456734-F277</f>
        <v>6445</v>
      </c>
      <c r="G239" s="321"/>
      <c r="H239" s="321"/>
      <c r="I239" s="321"/>
      <c r="J239" s="321"/>
      <c r="K239" s="321"/>
      <c r="AC239" s="1010"/>
      <c r="AD239" s="1012"/>
      <c r="AE239" s="1012"/>
      <c r="AF239" s="1012"/>
      <c r="AG239" s="1012"/>
      <c r="AH239" s="1012"/>
    </row>
    <row r="240" spans="1:35" s="319" customFormat="1">
      <c r="A240" s="744" t="s">
        <v>265</v>
      </c>
      <c r="B240" s="323"/>
      <c r="C240" s="915" t="s">
        <v>431</v>
      </c>
      <c r="D240" s="915" t="str">
        <f t="shared" ref="D240:G240" si="179">+D219</f>
        <v>FY20</v>
      </c>
      <c r="E240" s="915" t="str">
        <f t="shared" si="179"/>
        <v>FY21</v>
      </c>
      <c r="F240" s="915" t="str">
        <f t="shared" si="179"/>
        <v>FY22</v>
      </c>
      <c r="G240" s="915" t="str">
        <f t="shared" si="179"/>
        <v>FY23</v>
      </c>
      <c r="H240" s="915" t="str">
        <f t="shared" ref="H240:I240" si="180">+H219</f>
        <v>FY24</v>
      </c>
      <c r="I240" s="915" t="str">
        <f t="shared" si="180"/>
        <v>FY25</v>
      </c>
      <c r="J240" s="915" t="str">
        <f t="shared" ref="J240" si="181">+J219</f>
        <v>FY26</v>
      </c>
      <c r="K240" s="323"/>
      <c r="L240" s="352"/>
      <c r="M240" s="1515"/>
      <c r="N240" s="352"/>
      <c r="O240" s="352"/>
      <c r="P240" s="352"/>
      <c r="Q240" s="352"/>
      <c r="R240" s="352"/>
      <c r="S240" s="352"/>
      <c r="T240" s="352"/>
      <c r="U240" s="352"/>
      <c r="V240" s="352"/>
      <c r="W240" s="352"/>
      <c r="AC240" s="1010"/>
      <c r="AD240" s="1012"/>
      <c r="AE240" s="1012"/>
      <c r="AF240" s="1012"/>
      <c r="AG240" s="1012"/>
      <c r="AH240" s="1012"/>
      <c r="AI240" s="361"/>
    </row>
    <row r="241" spans="1:35" s="319" customFormat="1">
      <c r="A241" s="745" t="s">
        <v>305</v>
      </c>
      <c r="B241" s="746"/>
      <c r="C241" s="324">
        <v>5021908.5700000059</v>
      </c>
      <c r="D241" s="324">
        <f>5421813-D243</f>
        <v>6573487</v>
      </c>
      <c r="E241" s="324">
        <v>5826631</v>
      </c>
      <c r="F241" s="411">
        <f t="shared" ref="F241:J241" si="182">ROUND((E248-E243),0)</f>
        <v>5826631</v>
      </c>
      <c r="G241" s="411">
        <f t="shared" si="182"/>
        <v>7182001</v>
      </c>
      <c r="H241" s="411">
        <f t="shared" si="182"/>
        <v>7544101</v>
      </c>
      <c r="I241" s="411">
        <f t="shared" si="182"/>
        <v>7945279</v>
      </c>
      <c r="J241" s="411">
        <f t="shared" si="182"/>
        <v>8367415</v>
      </c>
      <c r="K241" s="324"/>
      <c r="L241" s="352"/>
      <c r="M241" s="434"/>
      <c r="N241" s="434"/>
      <c r="O241" s="352"/>
      <c r="P241" s="352"/>
      <c r="Q241" s="352"/>
      <c r="R241" s="352"/>
      <c r="S241" s="352"/>
      <c r="T241" s="352"/>
      <c r="U241" s="352"/>
      <c r="V241" s="352"/>
      <c r="W241" s="352"/>
      <c r="AC241" s="1010"/>
      <c r="AD241" s="1012"/>
      <c r="AE241" s="1012"/>
      <c r="AF241" s="1012"/>
      <c r="AG241" s="1012"/>
      <c r="AH241" s="1012"/>
      <c r="AI241" s="361"/>
    </row>
    <row r="242" spans="1:35" s="319" customFormat="1">
      <c r="A242" s="745" t="s">
        <v>408</v>
      </c>
      <c r="B242" s="746"/>
      <c r="C242" s="406">
        <v>0</v>
      </c>
      <c r="D242" s="406">
        <v>0</v>
      </c>
      <c r="E242" s="406">
        <v>0</v>
      </c>
      <c r="F242" s="1582">
        <v>867652</v>
      </c>
      <c r="G242" s="367">
        <v>0</v>
      </c>
      <c r="H242" s="367">
        <v>0</v>
      </c>
      <c r="I242" s="367">
        <v>0</v>
      </c>
      <c r="J242" s="367">
        <v>0</v>
      </c>
      <c r="K242" s="324"/>
      <c r="L242" s="352"/>
      <c r="M242" s="1003"/>
      <c r="N242" s="434"/>
      <c r="O242" s="352"/>
      <c r="P242" s="352"/>
      <c r="Q242" s="352"/>
      <c r="R242" s="352"/>
      <c r="S242" s="352"/>
      <c r="T242" s="352"/>
      <c r="U242" s="352"/>
      <c r="V242" s="352"/>
      <c r="W242" s="352"/>
      <c r="AC242" s="1010"/>
      <c r="AD242" s="1012"/>
      <c r="AE242" s="1012"/>
      <c r="AF242" s="1012"/>
      <c r="AG242" s="1012"/>
      <c r="AH242" s="1012"/>
      <c r="AI242" s="361"/>
    </row>
    <row r="243" spans="1:35">
      <c r="A243" s="745" t="s">
        <v>409</v>
      </c>
      <c r="B243" s="746"/>
      <c r="C243" s="406">
        <v>0</v>
      </c>
      <c r="D243" s="406">
        <v>-1151674</v>
      </c>
      <c r="E243" s="406">
        <v>0</v>
      </c>
      <c r="F243" s="367">
        <v>0</v>
      </c>
      <c r="G243" s="367">
        <v>0</v>
      </c>
      <c r="H243" s="367">
        <v>0</v>
      </c>
      <c r="I243" s="367">
        <v>0</v>
      </c>
      <c r="J243" s="367">
        <v>0</v>
      </c>
      <c r="K243" s="324"/>
      <c r="M243" s="1003"/>
      <c r="N243" s="434"/>
      <c r="AC243" s="1010"/>
      <c r="AD243" s="1012"/>
      <c r="AE243" s="1012"/>
      <c r="AF243" s="1012"/>
      <c r="AG243" s="1012"/>
      <c r="AH243" s="1012"/>
      <c r="AI243" s="352"/>
    </row>
    <row r="244" spans="1:35">
      <c r="A244" s="745" t="s">
        <v>960</v>
      </c>
      <c r="B244" s="816"/>
      <c r="C244" s="406">
        <v>0</v>
      </c>
      <c r="D244" s="406">
        <v>0</v>
      </c>
      <c r="E244" s="406">
        <v>0</v>
      </c>
      <c r="F244" s="367">
        <f>ROUND(18000/12*10,0)+ROUND((6000+6000)/12*2,0)-150000+60000</f>
        <v>-73000</v>
      </c>
      <c r="G244" s="367">
        <f>ROUND(18000/12*2,0)</f>
        <v>3000</v>
      </c>
      <c r="H244" s="367">
        <f>ROUND(0.08*H196,0)</f>
        <v>23973</v>
      </c>
      <c r="I244" s="367">
        <f>ROUND(0.08*I196,0)</f>
        <v>24872</v>
      </c>
      <c r="J244" s="367">
        <f>ROUND(0.08*J196,0)</f>
        <v>25307</v>
      </c>
      <c r="K244" s="405"/>
      <c r="M244" s="1003"/>
      <c r="N244" s="434"/>
      <c r="AC244" s="1010"/>
      <c r="AD244" s="1012"/>
      <c r="AE244" s="1012"/>
      <c r="AF244" s="1012"/>
      <c r="AG244" s="1012"/>
      <c r="AH244" s="1012"/>
      <c r="AI244" s="352"/>
    </row>
    <row r="245" spans="1:35">
      <c r="A245" s="745" t="s">
        <v>270</v>
      </c>
      <c r="B245" s="816"/>
      <c r="C245" s="406">
        <v>0</v>
      </c>
      <c r="D245" s="406">
        <v>0</v>
      </c>
      <c r="E245" s="406">
        <v>0</v>
      </c>
      <c r="F245" s="367">
        <v>0</v>
      </c>
      <c r="G245" s="367">
        <v>0</v>
      </c>
      <c r="H245" s="367">
        <v>0</v>
      </c>
      <c r="I245" s="367">
        <v>0</v>
      </c>
      <c r="J245" s="367">
        <v>0</v>
      </c>
      <c r="K245" s="405"/>
      <c r="M245" s="1003"/>
      <c r="N245" s="434"/>
      <c r="AC245" s="1010"/>
      <c r="AD245" s="1012"/>
      <c r="AE245" s="1012"/>
      <c r="AF245" s="1012"/>
      <c r="AG245" s="1012"/>
      <c r="AH245" s="1012"/>
      <c r="AI245" s="352"/>
    </row>
    <row r="246" spans="1:35">
      <c r="A246" s="745" t="s">
        <v>1008</v>
      </c>
      <c r="B246" s="816"/>
      <c r="C246" s="406">
        <v>0</v>
      </c>
      <c r="D246" s="406">
        <v>0</v>
      </c>
      <c r="E246" s="406">
        <v>0</v>
      </c>
      <c r="F246" s="367">
        <v>94588</v>
      </c>
      <c r="G246" s="367">
        <v>0</v>
      </c>
      <c r="H246" s="367">
        <v>0</v>
      </c>
      <c r="I246" s="367">
        <v>0</v>
      </c>
      <c r="J246" s="367">
        <v>0</v>
      </c>
      <c r="K246" s="406"/>
      <c r="M246" s="1003"/>
      <c r="N246" s="434"/>
      <c r="AC246" s="1010"/>
      <c r="AD246" s="1012"/>
      <c r="AE246" s="1012"/>
      <c r="AF246" s="1012"/>
      <c r="AG246" s="1012"/>
      <c r="AH246" s="1012"/>
    </row>
    <row r="247" spans="1:35" ht="15.6">
      <c r="A247" s="745" t="s">
        <v>271</v>
      </c>
      <c r="B247" s="818"/>
      <c r="C247" s="897">
        <v>0</v>
      </c>
      <c r="D247" s="897">
        <v>0</v>
      </c>
      <c r="E247" s="897">
        <v>0</v>
      </c>
      <c r="F247" s="898">
        <f>ROUND(F249*E248,0)</f>
        <v>466130</v>
      </c>
      <c r="G247" s="898">
        <f t="shared" ref="G247:J247" si="183">ROUND(G249*F248,0)</f>
        <v>359100</v>
      </c>
      <c r="H247" s="898">
        <f t="shared" si="183"/>
        <v>377205</v>
      </c>
      <c r="I247" s="898">
        <f t="shared" si="183"/>
        <v>397264</v>
      </c>
      <c r="J247" s="898">
        <f t="shared" si="183"/>
        <v>418371</v>
      </c>
      <c r="K247" s="408"/>
      <c r="M247" s="1568"/>
      <c r="N247" s="434"/>
      <c r="AC247" s="1010"/>
      <c r="AD247" s="1012"/>
      <c r="AE247" s="1012"/>
      <c r="AF247" s="1012"/>
      <c r="AG247" s="1012"/>
      <c r="AH247" s="1012"/>
    </row>
    <row r="248" spans="1:35" ht="15.6">
      <c r="A248" s="1401" t="s">
        <v>195</v>
      </c>
      <c r="B248" s="748"/>
      <c r="C248" s="327">
        <v>5021909</v>
      </c>
      <c r="D248" s="327">
        <f t="shared" ref="D248:I248" si="184">ROUND(SUM(D241:D247),0)</f>
        <v>5421813</v>
      </c>
      <c r="E248" s="327">
        <f t="shared" si="184"/>
        <v>5826631</v>
      </c>
      <c r="F248" s="327">
        <f>ROUND(SUM(F241:F247),0)</f>
        <v>7182001</v>
      </c>
      <c r="G248" s="327">
        <f t="shared" si="184"/>
        <v>7544101</v>
      </c>
      <c r="H248" s="327">
        <f t="shared" si="184"/>
        <v>7945279</v>
      </c>
      <c r="I248" s="327">
        <f t="shared" si="184"/>
        <v>8367415</v>
      </c>
      <c r="J248" s="327">
        <f t="shared" ref="J248" si="185">ROUND(SUM(J241:J247),0)</f>
        <v>8811093</v>
      </c>
      <c r="K248" s="327"/>
      <c r="M248" s="403"/>
      <c r="N248" s="434"/>
      <c r="AC248" s="1010"/>
      <c r="AD248" s="1012"/>
      <c r="AE248" s="1012"/>
      <c r="AF248" s="1012"/>
      <c r="AG248" s="1012"/>
      <c r="AH248" s="1012"/>
    </row>
    <row r="249" spans="1:35">
      <c r="A249" s="1409" t="s">
        <v>1037</v>
      </c>
      <c r="B249" s="743"/>
      <c r="C249" s="410">
        <v>9.0283255164556042E-2</v>
      </c>
      <c r="D249" s="410">
        <f>+D248/C248-1</f>
        <v>7.963186907608244E-2</v>
      </c>
      <c r="E249" s="410">
        <v>8.5000000000000006E-2</v>
      </c>
      <c r="F249" s="929">
        <v>0.08</v>
      </c>
      <c r="G249" s="929">
        <v>0.05</v>
      </c>
      <c r="H249" s="929">
        <v>0.05</v>
      </c>
      <c r="I249" s="929">
        <v>0.05</v>
      </c>
      <c r="J249" s="929">
        <v>0.05</v>
      </c>
      <c r="K249" s="321"/>
      <c r="M249" s="1572"/>
      <c r="N249" s="434"/>
      <c r="AC249" s="1010"/>
      <c r="AD249" s="1012"/>
      <c r="AE249" s="1012"/>
      <c r="AF249" s="1012"/>
      <c r="AG249" s="1012"/>
      <c r="AH249" s="1012"/>
    </row>
    <row r="250" spans="1:35">
      <c r="A250" s="1409" t="s">
        <v>1038</v>
      </c>
      <c r="B250" s="743"/>
      <c r="C250" s="635">
        <v>0.31163115804596647</v>
      </c>
      <c r="D250" s="635">
        <f t="shared" ref="D250:I250" si="186">+D248/(D203-D202)</f>
        <v>0.32352756019404444</v>
      </c>
      <c r="E250" s="635">
        <f t="shared" si="186"/>
        <v>0.34173612476369625</v>
      </c>
      <c r="F250" s="635">
        <f t="shared" si="186"/>
        <v>0.41751931012006904</v>
      </c>
      <c r="G250" s="635">
        <f t="shared" si="186"/>
        <v>0.42333789492887386</v>
      </c>
      <c r="H250" s="635">
        <f t="shared" si="186"/>
        <v>0.43034346214513347</v>
      </c>
      <c r="I250" s="635">
        <f t="shared" si="186"/>
        <v>0.44570252113319903</v>
      </c>
      <c r="J250" s="635">
        <f t="shared" ref="J250" si="187">+J248/(J203-J202)</f>
        <v>0.4615583472268211</v>
      </c>
      <c r="K250" s="321"/>
      <c r="AC250" s="1010"/>
      <c r="AD250" s="1012"/>
      <c r="AE250" s="1012"/>
      <c r="AF250" s="1012"/>
      <c r="AG250" s="1012"/>
      <c r="AH250" s="1012"/>
    </row>
    <row r="251" spans="1:35" s="319" customFormat="1">
      <c r="A251" s="744"/>
      <c r="B251" s="743"/>
      <c r="C251" s="321"/>
      <c r="D251" s="321"/>
      <c r="E251" s="321"/>
      <c r="F251" s="321"/>
      <c r="G251" s="321"/>
      <c r="H251" s="321"/>
      <c r="I251" s="321"/>
      <c r="J251" s="321"/>
      <c r="K251" s="321"/>
      <c r="L251" s="352"/>
      <c r="M251" s="352"/>
      <c r="N251" s="352"/>
      <c r="O251" s="352"/>
      <c r="P251" s="352"/>
      <c r="Q251" s="352"/>
      <c r="R251" s="352"/>
      <c r="S251" s="352"/>
      <c r="T251" s="352"/>
      <c r="U251" s="352"/>
      <c r="V251" s="352"/>
      <c r="W251" s="352"/>
      <c r="AC251" s="1010"/>
      <c r="AD251" s="1012"/>
      <c r="AE251" s="1012"/>
      <c r="AF251" s="1012"/>
      <c r="AG251" s="1012"/>
      <c r="AH251" s="1012"/>
      <c r="AI251" s="361"/>
    </row>
    <row r="252" spans="1:35">
      <c r="A252" s="744" t="s">
        <v>58</v>
      </c>
      <c r="B252" s="743"/>
      <c r="C252" s="321"/>
      <c r="D252" s="321"/>
      <c r="E252" s="321"/>
      <c r="F252" s="321"/>
      <c r="G252" s="321"/>
      <c r="H252" s="321"/>
      <c r="I252" s="321"/>
      <c r="J252" s="321"/>
      <c r="K252" s="321"/>
      <c r="AC252" s="1010"/>
      <c r="AD252" s="1012"/>
      <c r="AE252" s="1012"/>
      <c r="AF252" s="1012"/>
      <c r="AG252" s="1012"/>
      <c r="AH252" s="1012"/>
      <c r="AI252" s="352"/>
    </row>
    <row r="253" spans="1:35" s="319" customFormat="1">
      <c r="A253" s="744" t="s">
        <v>265</v>
      </c>
      <c r="B253" s="323"/>
      <c r="C253" s="915" t="s">
        <v>431</v>
      </c>
      <c r="D253" s="915" t="str">
        <f t="shared" ref="D253:I253" si="188">+D240</f>
        <v>FY20</v>
      </c>
      <c r="E253" s="915" t="str">
        <f t="shared" si="188"/>
        <v>FY21</v>
      </c>
      <c r="F253" s="915" t="str">
        <f t="shared" si="188"/>
        <v>FY22</v>
      </c>
      <c r="G253" s="915" t="str">
        <f t="shared" si="188"/>
        <v>FY23</v>
      </c>
      <c r="H253" s="915" t="str">
        <f t="shared" si="188"/>
        <v>FY24</v>
      </c>
      <c r="I253" s="915" t="str">
        <f t="shared" si="188"/>
        <v>FY25</v>
      </c>
      <c r="J253" s="915" t="str">
        <f t="shared" ref="J253" si="189">+J240</f>
        <v>FY26</v>
      </c>
      <c r="K253" s="323"/>
      <c r="L253" s="352"/>
      <c r="M253" s="1515"/>
      <c r="N253" s="352"/>
      <c r="O253" s="352"/>
      <c r="P253" s="352"/>
      <c r="Q253" s="352"/>
      <c r="R253" s="352"/>
      <c r="S253" s="352"/>
      <c r="T253" s="352"/>
      <c r="U253" s="352"/>
      <c r="V253" s="352"/>
      <c r="W253" s="352"/>
      <c r="AC253" s="1010"/>
      <c r="AD253" s="1012"/>
      <c r="AE253" s="1012"/>
      <c r="AF253" s="1012"/>
      <c r="AG253" s="1012"/>
      <c r="AH253" s="1012"/>
      <c r="AI253" s="352"/>
    </row>
    <row r="254" spans="1:35" s="319" customFormat="1">
      <c r="A254" s="744" t="s">
        <v>196</v>
      </c>
      <c r="B254" s="746"/>
      <c r="C254" s="411">
        <v>70779.12999999999</v>
      </c>
      <c r="D254" s="411">
        <v>114278</v>
      </c>
      <c r="E254" s="411">
        <v>103627</v>
      </c>
      <c r="F254" s="411">
        <f t="shared" ref="F254:I254" si="190">ROUND((F203-F202)*F257,0)</f>
        <v>117300</v>
      </c>
      <c r="G254" s="411">
        <f t="shared" si="190"/>
        <v>121521</v>
      </c>
      <c r="H254" s="411">
        <f t="shared" si="190"/>
        <v>125899</v>
      </c>
      <c r="I254" s="411">
        <f t="shared" si="190"/>
        <v>128019</v>
      </c>
      <c r="J254" s="411">
        <f t="shared" ref="J254" si="191">ROUND((J203-J202)*J257,0)</f>
        <v>130177</v>
      </c>
      <c r="K254" s="324"/>
      <c r="L254" s="352"/>
      <c r="M254" s="434"/>
      <c r="N254" s="434"/>
      <c r="O254" s="352"/>
      <c r="P254" s="352"/>
      <c r="Q254" s="352"/>
      <c r="R254" s="352"/>
      <c r="S254" s="352"/>
      <c r="T254" s="352"/>
      <c r="U254" s="352"/>
      <c r="V254" s="352"/>
      <c r="W254" s="352"/>
      <c r="AC254" s="1010"/>
      <c r="AD254" s="1012"/>
      <c r="AE254" s="1012"/>
      <c r="AF254" s="1012"/>
      <c r="AG254" s="1012"/>
      <c r="AH254" s="1012"/>
      <c r="AI254" s="361"/>
    </row>
    <row r="255" spans="1:35" s="319" customFormat="1" ht="15.6">
      <c r="A255" s="744" t="s">
        <v>413</v>
      </c>
      <c r="B255" s="746"/>
      <c r="C255" s="898">
        <v>4637</v>
      </c>
      <c r="D255" s="898">
        <f>1277+2454</f>
        <v>3731</v>
      </c>
      <c r="E255" s="898">
        <f>1695+1246</f>
        <v>2941</v>
      </c>
      <c r="F255" s="893">
        <f>ROUND(E255*1,0)-2500</f>
        <v>441</v>
      </c>
      <c r="G255" s="893">
        <f t="shared" ref="G255:J255" si="192">ROUND(F255*1,0)</f>
        <v>441</v>
      </c>
      <c r="H255" s="893">
        <f t="shared" si="192"/>
        <v>441</v>
      </c>
      <c r="I255" s="893">
        <f t="shared" si="192"/>
        <v>441</v>
      </c>
      <c r="J255" s="893">
        <f t="shared" si="192"/>
        <v>441</v>
      </c>
      <c r="K255" s="324"/>
      <c r="L255" s="352"/>
      <c r="M255" s="1568"/>
      <c r="N255" s="434"/>
      <c r="O255" s="352"/>
      <c r="P255" s="352"/>
      <c r="Q255" s="352"/>
      <c r="R255" s="352"/>
      <c r="S255" s="352"/>
      <c r="T255" s="352"/>
      <c r="U255" s="352"/>
      <c r="V255" s="352"/>
      <c r="W255" s="352"/>
      <c r="AC255" s="1010"/>
      <c r="AD255" s="1012"/>
      <c r="AE255" s="1012"/>
      <c r="AF255" s="1012"/>
      <c r="AG255" s="1012"/>
      <c r="AH255" s="1012"/>
      <c r="AI255" s="361"/>
    </row>
    <row r="256" spans="1:35" ht="15.6">
      <c r="A256" s="744" t="s">
        <v>414</v>
      </c>
      <c r="B256" s="746"/>
      <c r="C256" s="327">
        <v>75416</v>
      </c>
      <c r="D256" s="327">
        <f t="shared" ref="D256:I256" si="193">ROUND(D254+D255,0)</f>
        <v>118009</v>
      </c>
      <c r="E256" s="327">
        <f t="shared" si="193"/>
        <v>106568</v>
      </c>
      <c r="F256" s="327">
        <f t="shared" si="193"/>
        <v>117741</v>
      </c>
      <c r="G256" s="327">
        <f t="shared" si="193"/>
        <v>121962</v>
      </c>
      <c r="H256" s="327">
        <f t="shared" si="193"/>
        <v>126340</v>
      </c>
      <c r="I256" s="327">
        <f t="shared" si="193"/>
        <v>128460</v>
      </c>
      <c r="J256" s="327">
        <f t="shared" ref="J256" si="194">ROUND(J254+J255,0)</f>
        <v>130618</v>
      </c>
      <c r="K256" s="324"/>
      <c r="M256" s="403"/>
      <c r="N256" s="434"/>
      <c r="AC256" s="1010"/>
      <c r="AD256" s="1012"/>
      <c r="AE256" s="1012"/>
      <c r="AF256" s="1012"/>
      <c r="AG256" s="1012"/>
      <c r="AH256" s="1012"/>
      <c r="AI256" s="352"/>
    </row>
    <row r="257" spans="1:35" ht="15.6">
      <c r="A257" s="326" t="s">
        <v>961</v>
      </c>
      <c r="B257" s="748"/>
      <c r="C257" s="930">
        <v>4.392150922564707E-3</v>
      </c>
      <c r="D257" s="930">
        <f t="shared" ref="D257" si="195">+D254/(D203-D202)</f>
        <v>6.8191364261096822E-3</v>
      </c>
      <c r="E257" s="930">
        <f>ROUND(D257,8)</f>
        <v>6.8191399999999996E-3</v>
      </c>
      <c r="F257" s="925">
        <f t="shared" ref="F257:J257" si="196">ROUND(E257,8)</f>
        <v>6.8191399999999996E-3</v>
      </c>
      <c r="G257" s="925">
        <f t="shared" si="196"/>
        <v>6.8191399999999996E-3</v>
      </c>
      <c r="H257" s="925">
        <f t="shared" si="196"/>
        <v>6.8191399999999996E-3</v>
      </c>
      <c r="I257" s="925">
        <f t="shared" si="196"/>
        <v>6.8191399999999996E-3</v>
      </c>
      <c r="J257" s="925">
        <f t="shared" si="196"/>
        <v>6.8191399999999996E-3</v>
      </c>
      <c r="K257" s="321"/>
      <c r="M257" s="1569"/>
      <c r="N257" s="434"/>
      <c r="AC257" s="1010"/>
      <c r="AD257" s="1012"/>
      <c r="AE257" s="1012"/>
      <c r="AF257" s="1012"/>
      <c r="AG257" s="1012"/>
      <c r="AH257" s="1012"/>
      <c r="AI257" s="352"/>
    </row>
    <row r="258" spans="1:35" ht="15.6">
      <c r="A258" s="744"/>
      <c r="B258" s="748"/>
      <c r="C258" s="321"/>
      <c r="D258" s="321"/>
      <c r="E258" s="321"/>
      <c r="F258" s="321"/>
      <c r="G258" s="321"/>
      <c r="H258" s="321"/>
      <c r="I258" s="321"/>
      <c r="J258" s="321"/>
      <c r="K258" s="321"/>
      <c r="AC258" s="1010"/>
      <c r="AD258" s="1012"/>
      <c r="AE258" s="1012"/>
      <c r="AF258" s="1012"/>
      <c r="AG258" s="1012"/>
      <c r="AH258" s="1012"/>
      <c r="AI258" s="352"/>
    </row>
    <row r="259" spans="1:35" ht="15.6">
      <c r="A259" s="744" t="s">
        <v>59</v>
      </c>
      <c r="B259" s="748"/>
      <c r="C259" s="321"/>
      <c r="D259" s="321"/>
      <c r="E259" s="321"/>
      <c r="F259" s="321"/>
      <c r="G259" s="321"/>
      <c r="H259" s="321"/>
      <c r="I259" s="321"/>
      <c r="J259" s="321"/>
      <c r="K259" s="321"/>
      <c r="AC259" s="1010"/>
      <c r="AD259" s="1012"/>
      <c r="AE259" s="1012"/>
      <c r="AF259" s="1012"/>
      <c r="AG259" s="1012"/>
      <c r="AH259" s="1012"/>
    </row>
    <row r="260" spans="1:35">
      <c r="A260" s="745" t="s">
        <v>221</v>
      </c>
      <c r="B260" s="743"/>
      <c r="C260" s="321"/>
      <c r="D260" s="321"/>
      <c r="E260" s="321"/>
      <c r="F260" s="321"/>
      <c r="G260" s="321"/>
      <c r="H260" s="321"/>
      <c r="I260" s="321"/>
      <c r="J260" s="321"/>
      <c r="K260" s="321"/>
      <c r="AC260" s="1010"/>
      <c r="AD260" s="1012"/>
      <c r="AE260" s="1012"/>
      <c r="AF260" s="1012"/>
      <c r="AG260" s="1012"/>
      <c r="AH260" s="1012"/>
    </row>
    <row r="261" spans="1:35">
      <c r="A261" s="745" t="s">
        <v>232</v>
      </c>
      <c r="B261" s="743"/>
      <c r="C261" s="321"/>
      <c r="D261" s="321"/>
      <c r="E261" s="321"/>
      <c r="F261" s="321"/>
      <c r="G261" s="321"/>
      <c r="H261" s="321"/>
      <c r="I261" s="321"/>
      <c r="J261" s="321"/>
      <c r="K261" s="321"/>
      <c r="AC261" s="1010"/>
      <c r="AD261" s="1012"/>
      <c r="AE261" s="1012"/>
      <c r="AF261" s="1012"/>
      <c r="AG261" s="1012"/>
      <c r="AH261" s="1012"/>
    </row>
    <row r="262" spans="1:35">
      <c r="A262" s="745" t="s">
        <v>250</v>
      </c>
      <c r="B262" s="743"/>
      <c r="C262" s="324"/>
      <c r="D262" s="324"/>
      <c r="E262" s="324"/>
      <c r="F262" s="321"/>
      <c r="G262" s="321"/>
      <c r="H262" s="321"/>
      <c r="I262" s="321"/>
      <c r="J262" s="321"/>
      <c r="K262" s="321"/>
      <c r="AC262" s="1010"/>
      <c r="AD262" s="1012"/>
      <c r="AE262" s="1012"/>
      <c r="AF262" s="1012"/>
      <c r="AG262" s="1012"/>
      <c r="AH262" s="1012"/>
    </row>
    <row r="263" spans="1:35" s="319" customFormat="1">
      <c r="A263" s="744" t="s">
        <v>265</v>
      </c>
      <c r="B263" s="323"/>
      <c r="C263" s="915" t="s">
        <v>431</v>
      </c>
      <c r="D263" s="915" t="str">
        <f t="shared" ref="D263:G263" si="197">+D253</f>
        <v>FY20</v>
      </c>
      <c r="E263" s="915" t="str">
        <f t="shared" si="197"/>
        <v>FY21</v>
      </c>
      <c r="F263" s="915" t="str">
        <f t="shared" si="197"/>
        <v>FY22</v>
      </c>
      <c r="G263" s="915" t="str">
        <f t="shared" si="197"/>
        <v>FY23</v>
      </c>
      <c r="H263" s="915" t="str">
        <f t="shared" ref="H263:I263" si="198">+H253</f>
        <v>FY24</v>
      </c>
      <c r="I263" s="915" t="str">
        <f t="shared" si="198"/>
        <v>FY25</v>
      </c>
      <c r="J263" s="915" t="str">
        <f t="shared" ref="J263" si="199">+J253</f>
        <v>FY26</v>
      </c>
      <c r="K263" s="323"/>
      <c r="L263" s="352"/>
      <c r="M263" s="1515"/>
      <c r="N263" s="352"/>
      <c r="O263" s="352"/>
      <c r="P263" s="352"/>
      <c r="Q263" s="352"/>
      <c r="R263" s="352"/>
      <c r="S263" s="352"/>
      <c r="T263" s="352"/>
      <c r="U263" s="352"/>
      <c r="V263" s="352"/>
      <c r="W263" s="352"/>
      <c r="AC263" s="1010"/>
      <c r="AD263" s="1012"/>
      <c r="AE263" s="1012"/>
      <c r="AF263" s="1012"/>
      <c r="AG263" s="1012"/>
      <c r="AH263" s="1012"/>
      <c r="AI263" s="361"/>
    </row>
    <row r="264" spans="1:35">
      <c r="A264" s="745" t="s">
        <v>305</v>
      </c>
      <c r="B264" s="746"/>
      <c r="C264" s="411">
        <v>210787</v>
      </c>
      <c r="D264" s="411">
        <f>ROUND(D194*D269,0)</f>
        <v>221618</v>
      </c>
      <c r="E264" s="411">
        <f>236697-10434</f>
        <v>226263</v>
      </c>
      <c r="F264" s="411">
        <f t="shared" ref="F264:I264" si="200">ROUND(F194*F269,0)</f>
        <v>225609</v>
      </c>
      <c r="G264" s="411">
        <f t="shared" si="200"/>
        <v>228013</v>
      </c>
      <c r="H264" s="411">
        <f t="shared" si="200"/>
        <v>236563</v>
      </c>
      <c r="I264" s="411">
        <f t="shared" si="200"/>
        <v>245434</v>
      </c>
      <c r="J264" s="411">
        <f t="shared" ref="J264" si="201">ROUND(J194*J269,0)</f>
        <v>249730</v>
      </c>
      <c r="K264" s="324"/>
      <c r="M264" s="434"/>
      <c r="N264" s="434"/>
      <c r="AC264" s="1010"/>
      <c r="AD264" s="1012"/>
      <c r="AE264" s="1012"/>
      <c r="AF264" s="1012"/>
      <c r="AG264" s="1012"/>
      <c r="AH264" s="1012"/>
    </row>
    <row r="265" spans="1:35">
      <c r="A265" s="745" t="s">
        <v>964</v>
      </c>
      <c r="B265" s="816"/>
      <c r="C265" s="412">
        <v>0</v>
      </c>
      <c r="D265" s="412">
        <f t="shared" ref="D265" si="202">ROUND((D195+D196)*D269,0)</f>
        <v>0</v>
      </c>
      <c r="E265" s="412">
        <f t="shared" ref="E265:I265" si="203">ROUND((E195+E196)*E269,0)</f>
        <v>0</v>
      </c>
      <c r="F265" s="412">
        <f t="shared" si="203"/>
        <v>5254</v>
      </c>
      <c r="G265" s="412">
        <f t="shared" si="203"/>
        <v>8550</v>
      </c>
      <c r="H265" s="412">
        <f t="shared" si="203"/>
        <v>8871</v>
      </c>
      <c r="I265" s="412">
        <f t="shared" si="203"/>
        <v>4295</v>
      </c>
      <c r="J265" s="412">
        <f t="shared" ref="J265" si="204">ROUND((J195+J196)*J269,0)</f>
        <v>4370</v>
      </c>
      <c r="K265" s="405"/>
      <c r="M265" s="1566"/>
      <c r="N265" s="434"/>
      <c r="AC265" s="1010"/>
      <c r="AD265" s="1012"/>
      <c r="AE265" s="1012"/>
      <c r="AF265" s="1012"/>
      <c r="AG265" s="1012"/>
      <c r="AH265" s="1012"/>
    </row>
    <row r="266" spans="1:35">
      <c r="A266" s="745" t="s">
        <v>963</v>
      </c>
      <c r="B266" s="816"/>
      <c r="C266" s="412">
        <v>10883</v>
      </c>
      <c r="D266" s="412">
        <f t="shared" ref="D266" si="205">ROUND((D197+D198+D199+D201)*0.0145,0)</f>
        <v>10394</v>
      </c>
      <c r="E266" s="412">
        <f t="shared" ref="E266:I266" si="206">ROUND((E197+E198+E199+E201)*0.0145,0)</f>
        <v>10434</v>
      </c>
      <c r="F266" s="412">
        <f t="shared" si="206"/>
        <v>10108</v>
      </c>
      <c r="G266" s="412">
        <f t="shared" si="206"/>
        <v>10108</v>
      </c>
      <c r="H266" s="412">
        <f t="shared" si="206"/>
        <v>10108</v>
      </c>
      <c r="I266" s="412">
        <f t="shared" si="206"/>
        <v>10108</v>
      </c>
      <c r="J266" s="412">
        <f t="shared" ref="J266" si="207">ROUND((J197+J198+J199+J201)*0.0145,0)</f>
        <v>10108</v>
      </c>
      <c r="K266" s="405"/>
      <c r="M266" s="1566"/>
      <c r="N266" s="434"/>
      <c r="AC266" s="1010"/>
      <c r="AD266" s="1012"/>
      <c r="AE266" s="1012"/>
      <c r="AF266" s="1012"/>
      <c r="AG266" s="1012"/>
      <c r="AH266" s="1012"/>
      <c r="AI266" s="352"/>
    </row>
    <row r="267" spans="1:35">
      <c r="A267" s="745" t="s">
        <v>948</v>
      </c>
      <c r="B267" s="817"/>
      <c r="C267" s="413">
        <v>0</v>
      </c>
      <c r="D267" s="413">
        <f>ROUND(D200*0.0145,0)</f>
        <v>0</v>
      </c>
      <c r="E267" s="413">
        <f t="shared" ref="E267:I267" si="208">ROUND(E200*0.0145,0)</f>
        <v>0</v>
      </c>
      <c r="F267" s="413">
        <f t="shared" si="208"/>
        <v>-2992</v>
      </c>
      <c r="G267" s="413">
        <f t="shared" si="208"/>
        <v>0</v>
      </c>
      <c r="H267" s="413">
        <f t="shared" si="208"/>
        <v>0</v>
      </c>
      <c r="I267" s="413">
        <f t="shared" si="208"/>
        <v>0</v>
      </c>
      <c r="J267" s="413">
        <f t="shared" ref="J267" si="209">ROUND(J200*0.0145,0)</f>
        <v>0</v>
      </c>
      <c r="K267" s="1528"/>
      <c r="M267" s="1563"/>
      <c r="N267" s="434"/>
      <c r="AC267" s="1010"/>
      <c r="AD267" s="1012"/>
      <c r="AE267" s="1012"/>
      <c r="AF267" s="1012"/>
      <c r="AG267" s="1012"/>
      <c r="AH267" s="1012"/>
    </row>
    <row r="268" spans="1:35" ht="15.6">
      <c r="A268" s="744" t="s">
        <v>197</v>
      </c>
      <c r="B268" s="748"/>
      <c r="C268" s="327">
        <v>221670</v>
      </c>
      <c r="D268" s="327">
        <f t="shared" ref="D268" si="210">ROUND(SUM(D264:D267),0)</f>
        <v>232012</v>
      </c>
      <c r="E268" s="327">
        <f>ROUND(SUM(E264:E267),0)</f>
        <v>236697</v>
      </c>
      <c r="F268" s="327">
        <f t="shared" ref="F268:I268" si="211">ROUND(SUM(F264:F267),0)</f>
        <v>237979</v>
      </c>
      <c r="G268" s="327">
        <f t="shared" si="211"/>
        <v>246671</v>
      </c>
      <c r="H268" s="327">
        <f t="shared" si="211"/>
        <v>255542</v>
      </c>
      <c r="I268" s="327">
        <f t="shared" si="211"/>
        <v>259837</v>
      </c>
      <c r="J268" s="327">
        <f t="shared" ref="J268" si="212">ROUND(SUM(J264:J267),0)</f>
        <v>264208</v>
      </c>
      <c r="K268" s="327"/>
      <c r="M268" s="403"/>
      <c r="N268" s="434"/>
      <c r="AC268" s="1010"/>
      <c r="AD268" s="1012"/>
      <c r="AE268" s="1012"/>
      <c r="AF268" s="1012"/>
      <c r="AG268" s="1012"/>
      <c r="AH268" s="1012"/>
    </row>
    <row r="269" spans="1:35" ht="15.6">
      <c r="A269" s="326" t="s">
        <v>962</v>
      </c>
      <c r="B269" s="748"/>
      <c r="C269" s="930">
        <v>1.371923672351842E-2</v>
      </c>
      <c r="D269" s="930">
        <v>1.3815222379997478E-2</v>
      </c>
      <c r="E269" s="930">
        <f>ROUND(D269,8)</f>
        <v>1.381522E-2</v>
      </c>
      <c r="F269" s="925">
        <f t="shared" ref="F269:J269" si="213">ROUND(E269,8)</f>
        <v>1.381522E-2</v>
      </c>
      <c r="G269" s="925">
        <f t="shared" si="213"/>
        <v>1.381522E-2</v>
      </c>
      <c r="H269" s="925">
        <f t="shared" si="213"/>
        <v>1.381522E-2</v>
      </c>
      <c r="I269" s="925">
        <f t="shared" si="213"/>
        <v>1.381522E-2</v>
      </c>
      <c r="J269" s="925">
        <f t="shared" si="213"/>
        <v>1.381522E-2</v>
      </c>
      <c r="K269" s="321"/>
      <c r="M269" s="1569"/>
      <c r="N269" s="434"/>
      <c r="AC269" s="1010"/>
      <c r="AD269" s="1012"/>
      <c r="AE269" s="1012"/>
      <c r="AF269" s="1012"/>
      <c r="AG269" s="1012"/>
      <c r="AH269" s="1012"/>
    </row>
    <row r="270" spans="1:35">
      <c r="A270" s="744" t="s">
        <v>264</v>
      </c>
      <c r="B270" s="743"/>
      <c r="C270" s="321"/>
      <c r="D270" s="321"/>
      <c r="E270" s="321"/>
      <c r="F270" s="321"/>
      <c r="G270" s="321"/>
      <c r="H270" s="321"/>
      <c r="I270" s="321"/>
      <c r="J270" s="321"/>
      <c r="K270" s="321"/>
      <c r="AC270" s="1370"/>
      <c r="AD270" s="1371"/>
      <c r="AE270" s="1371"/>
      <c r="AF270" s="1371"/>
      <c r="AG270" s="1371"/>
      <c r="AH270" s="1371"/>
      <c r="AI270" s="1023"/>
    </row>
    <row r="271" spans="1:35">
      <c r="A271" s="744" t="s">
        <v>265</v>
      </c>
      <c r="B271" s="323"/>
      <c r="C271" s="323" t="s">
        <v>431</v>
      </c>
      <c r="D271" s="323" t="str">
        <f t="shared" ref="D271:G271" si="214">+D263</f>
        <v>FY20</v>
      </c>
      <c r="E271" s="323" t="str">
        <f t="shared" si="214"/>
        <v>FY21</v>
      </c>
      <c r="F271" s="323" t="str">
        <f t="shared" si="214"/>
        <v>FY22</v>
      </c>
      <c r="G271" s="323" t="str">
        <f t="shared" si="214"/>
        <v>FY23</v>
      </c>
      <c r="H271" s="323" t="str">
        <f t="shared" ref="H271:I271" si="215">+H263</f>
        <v>FY24</v>
      </c>
      <c r="I271" s="323" t="str">
        <f t="shared" si="215"/>
        <v>FY25</v>
      </c>
      <c r="J271" s="323" t="str">
        <f t="shared" ref="J271" si="216">+J263</f>
        <v>FY26</v>
      </c>
      <c r="K271" s="323"/>
      <c r="M271" s="1513"/>
      <c r="AC271" s="1029" t="str">
        <f t="shared" ref="AC271:AC277" si="217">A271</f>
        <v>Source</v>
      </c>
      <c r="AD271" s="1017" t="str">
        <f t="shared" ref="AD271:AH277" si="218">F271</f>
        <v>FY22</v>
      </c>
      <c r="AE271" s="1017" t="str">
        <f t="shared" si="218"/>
        <v>FY23</v>
      </c>
      <c r="AF271" s="1017" t="str">
        <f t="shared" si="218"/>
        <v>FY24</v>
      </c>
      <c r="AG271" s="1017" t="str">
        <f t="shared" si="218"/>
        <v>FY25</v>
      </c>
      <c r="AH271" s="1017" t="str">
        <f t="shared" si="218"/>
        <v>FY26</v>
      </c>
      <c r="AI271" s="1023"/>
    </row>
    <row r="272" spans="1:35">
      <c r="A272" s="745" t="s">
        <v>445</v>
      </c>
      <c r="B272" s="746"/>
      <c r="C272" s="324">
        <v>3798705</v>
      </c>
      <c r="D272" s="324">
        <f t="shared" ref="D272:I272" si="219">D226</f>
        <v>3794492</v>
      </c>
      <c r="E272" s="324">
        <f t="shared" si="219"/>
        <v>3884176</v>
      </c>
      <c r="F272" s="324">
        <f t="shared" si="219"/>
        <v>3896009</v>
      </c>
      <c r="G272" s="324">
        <f t="shared" si="219"/>
        <v>3926008</v>
      </c>
      <c r="H272" s="324">
        <f t="shared" si="219"/>
        <v>3931043</v>
      </c>
      <c r="I272" s="324">
        <f t="shared" si="219"/>
        <v>3859183</v>
      </c>
      <c r="J272" s="324">
        <f t="shared" ref="J272" si="220">J226</f>
        <v>3860363</v>
      </c>
      <c r="K272" s="324"/>
      <c r="M272" s="434"/>
      <c r="N272" s="434"/>
      <c r="AC272" s="1010" t="str">
        <f t="shared" si="217"/>
        <v>A) STRS/SERS</v>
      </c>
      <c r="AD272" s="1012">
        <f t="shared" si="218"/>
        <v>3896009</v>
      </c>
      <c r="AE272" s="1012">
        <f t="shared" si="218"/>
        <v>3926008</v>
      </c>
      <c r="AF272" s="1012">
        <f t="shared" si="218"/>
        <v>3931043</v>
      </c>
      <c r="AG272" s="1012">
        <f t="shared" si="218"/>
        <v>3859183</v>
      </c>
      <c r="AH272" s="1012">
        <f t="shared" si="218"/>
        <v>3860363</v>
      </c>
      <c r="AI272" s="1023"/>
    </row>
    <row r="273" spans="1:35">
      <c r="A273" s="745" t="s">
        <v>446</v>
      </c>
      <c r="B273" s="816"/>
      <c r="C273" s="405">
        <v>5021909</v>
      </c>
      <c r="D273" s="405">
        <f t="shared" ref="D273:I273" si="221">D248</f>
        <v>5421813</v>
      </c>
      <c r="E273" s="405">
        <f t="shared" si="221"/>
        <v>5826631</v>
      </c>
      <c r="F273" s="405">
        <f t="shared" si="221"/>
        <v>7182001</v>
      </c>
      <c r="G273" s="405">
        <f t="shared" si="221"/>
        <v>7544101</v>
      </c>
      <c r="H273" s="405">
        <f t="shared" si="221"/>
        <v>7945279</v>
      </c>
      <c r="I273" s="405">
        <f t="shared" si="221"/>
        <v>8367415</v>
      </c>
      <c r="J273" s="405">
        <f t="shared" ref="J273" si="222">J248</f>
        <v>8811093</v>
      </c>
      <c r="K273" s="405"/>
      <c r="M273" s="1566"/>
      <c r="N273" s="434"/>
      <c r="AC273" s="1010" t="str">
        <f t="shared" si="217"/>
        <v>B) Insurance's</v>
      </c>
      <c r="AD273" s="1014">
        <f t="shared" si="218"/>
        <v>7182001</v>
      </c>
      <c r="AE273" s="1014">
        <f t="shared" si="218"/>
        <v>7544101</v>
      </c>
      <c r="AF273" s="1014">
        <f t="shared" si="218"/>
        <v>7945279</v>
      </c>
      <c r="AG273" s="1014">
        <f t="shared" si="218"/>
        <v>8367415</v>
      </c>
      <c r="AH273" s="1014">
        <f t="shared" si="218"/>
        <v>8811093</v>
      </c>
      <c r="AI273" s="1023"/>
    </row>
    <row r="274" spans="1:35">
      <c r="A274" s="745" t="s">
        <v>447</v>
      </c>
      <c r="B274" s="816"/>
      <c r="C274" s="405">
        <v>75416</v>
      </c>
      <c r="D274" s="405">
        <f t="shared" ref="D274:H274" si="223">D256</f>
        <v>118009</v>
      </c>
      <c r="E274" s="405">
        <f t="shared" si="223"/>
        <v>106568</v>
      </c>
      <c r="F274" s="405">
        <f t="shared" si="223"/>
        <v>117741</v>
      </c>
      <c r="G274" s="405">
        <f t="shared" si="223"/>
        <v>121962</v>
      </c>
      <c r="H274" s="405">
        <f t="shared" si="223"/>
        <v>126340</v>
      </c>
      <c r="I274" s="405">
        <f t="shared" ref="I274:J274" si="224">I256</f>
        <v>128460</v>
      </c>
      <c r="J274" s="405">
        <f t="shared" si="224"/>
        <v>130618</v>
      </c>
      <c r="K274" s="405"/>
      <c r="M274" s="1566"/>
      <c r="N274" s="434"/>
      <c r="AC274" s="1010" t="str">
        <f t="shared" si="217"/>
        <v>C) Workers Comp/Unemployment</v>
      </c>
      <c r="AD274" s="1014">
        <f t="shared" si="218"/>
        <v>117741</v>
      </c>
      <c r="AE274" s="1014">
        <f t="shared" si="218"/>
        <v>121962</v>
      </c>
      <c r="AF274" s="1014">
        <f t="shared" si="218"/>
        <v>126340</v>
      </c>
      <c r="AG274" s="1014">
        <f t="shared" si="218"/>
        <v>128460</v>
      </c>
      <c r="AH274" s="1014">
        <f t="shared" si="218"/>
        <v>130618</v>
      </c>
      <c r="AI274" s="1023"/>
    </row>
    <row r="275" spans="1:35">
      <c r="A275" s="745" t="s">
        <v>448</v>
      </c>
      <c r="B275" s="816"/>
      <c r="C275" s="405">
        <v>221670</v>
      </c>
      <c r="D275" s="405">
        <f t="shared" ref="D275:G275" si="225">D268</f>
        <v>232012</v>
      </c>
      <c r="E275" s="405">
        <f t="shared" si="225"/>
        <v>236697</v>
      </c>
      <c r="F275" s="405">
        <f t="shared" si="225"/>
        <v>237979</v>
      </c>
      <c r="G275" s="405">
        <f t="shared" si="225"/>
        <v>246671</v>
      </c>
      <c r="H275" s="405">
        <f t="shared" ref="H275:I275" si="226">H268</f>
        <v>255542</v>
      </c>
      <c r="I275" s="405">
        <f t="shared" si="226"/>
        <v>259837</v>
      </c>
      <c r="J275" s="405">
        <f t="shared" ref="J275" si="227">J268</f>
        <v>264208</v>
      </c>
      <c r="K275" s="405"/>
      <c r="M275" s="1566"/>
      <c r="N275" s="434"/>
      <c r="AC275" s="1010" t="str">
        <f t="shared" si="217"/>
        <v>D) Medicare</v>
      </c>
      <c r="AD275" s="1014">
        <f t="shared" si="218"/>
        <v>237979</v>
      </c>
      <c r="AE275" s="1014">
        <f t="shared" si="218"/>
        <v>246671</v>
      </c>
      <c r="AF275" s="1014">
        <f t="shared" si="218"/>
        <v>255542</v>
      </c>
      <c r="AG275" s="1014">
        <f t="shared" si="218"/>
        <v>259837</v>
      </c>
      <c r="AH275" s="1014">
        <f t="shared" si="218"/>
        <v>264208</v>
      </c>
      <c r="AI275" s="1023"/>
    </row>
    <row r="276" spans="1:35" ht="15.6">
      <c r="A276" s="745" t="s">
        <v>965</v>
      </c>
      <c r="B276" s="818"/>
      <c r="C276" s="408">
        <v>24107</v>
      </c>
      <c r="D276" s="408">
        <v>27801</v>
      </c>
      <c r="E276" s="408">
        <v>16559</v>
      </c>
      <c r="F276" s="409">
        <f t="shared" ref="F276:J276" si="228">E276</f>
        <v>16559</v>
      </c>
      <c r="G276" s="409">
        <f t="shared" si="228"/>
        <v>16559</v>
      </c>
      <c r="H276" s="409">
        <f t="shared" si="228"/>
        <v>16559</v>
      </c>
      <c r="I276" s="409">
        <f t="shared" si="228"/>
        <v>16559</v>
      </c>
      <c r="J276" s="409">
        <f t="shared" si="228"/>
        <v>16559</v>
      </c>
      <c r="K276" s="408"/>
      <c r="M276" s="1573"/>
      <c r="N276" s="434"/>
      <c r="AC276" s="1010" t="str">
        <f t="shared" si="217"/>
        <v>Annuities/Uniform/Meeting</v>
      </c>
      <c r="AD276" s="1015">
        <f t="shared" si="218"/>
        <v>16559</v>
      </c>
      <c r="AE276" s="1015">
        <f t="shared" si="218"/>
        <v>16559</v>
      </c>
      <c r="AF276" s="1015">
        <f t="shared" si="218"/>
        <v>16559</v>
      </c>
      <c r="AG276" s="1015">
        <f t="shared" si="218"/>
        <v>16559</v>
      </c>
      <c r="AH276" s="1015">
        <f t="shared" si="218"/>
        <v>16559</v>
      </c>
      <c r="AI276" s="1023"/>
    </row>
    <row r="277" spans="1:35" ht="15.6">
      <c r="A277" s="1401" t="s">
        <v>1034</v>
      </c>
      <c r="B277" s="748"/>
      <c r="C277" s="1404">
        <v>9141807</v>
      </c>
      <c r="D277" s="1404">
        <f t="shared" ref="D277:I277" si="229">ROUND(SUM(D272:D276),0)</f>
        <v>9594127</v>
      </c>
      <c r="E277" s="1404">
        <f t="shared" si="229"/>
        <v>10070631</v>
      </c>
      <c r="F277" s="1404">
        <f t="shared" si="229"/>
        <v>11450289</v>
      </c>
      <c r="G277" s="1404">
        <f t="shared" si="229"/>
        <v>11855301</v>
      </c>
      <c r="H277" s="1404">
        <f t="shared" si="229"/>
        <v>12274763</v>
      </c>
      <c r="I277" s="1404">
        <f t="shared" si="229"/>
        <v>12631454</v>
      </c>
      <c r="J277" s="1404">
        <f t="shared" ref="J277" si="230">ROUND(SUM(J272:J276),0)</f>
        <v>13082841</v>
      </c>
      <c r="K277" s="1529"/>
      <c r="M277" s="403"/>
      <c r="N277" s="434"/>
      <c r="AC277" s="1010" t="str">
        <f t="shared" si="217"/>
        <v>Total Fringe Benefits Line #3.020</v>
      </c>
      <c r="AD277" s="1016">
        <f t="shared" si="218"/>
        <v>11450289</v>
      </c>
      <c r="AE277" s="1016">
        <f t="shared" si="218"/>
        <v>11855301</v>
      </c>
      <c r="AF277" s="1016">
        <f t="shared" si="218"/>
        <v>12274763</v>
      </c>
      <c r="AG277" s="1016">
        <f t="shared" si="218"/>
        <v>12631454</v>
      </c>
      <c r="AH277" s="1016">
        <f t="shared" si="218"/>
        <v>13082841</v>
      </c>
      <c r="AI277" s="1023"/>
    </row>
    <row r="278" spans="1:35" ht="15.6">
      <c r="A278" s="1402" t="s">
        <v>1035</v>
      </c>
      <c r="B278" s="748"/>
      <c r="C278" s="1406">
        <v>0.56412266983631887</v>
      </c>
      <c r="D278" s="1406">
        <f t="shared" ref="D278:I278" si="231">D277/D203</f>
        <v>0.57072313542597697</v>
      </c>
      <c r="E278" s="1406">
        <f t="shared" si="231"/>
        <v>0.58589554456974891</v>
      </c>
      <c r="F278" s="1406">
        <f t="shared" si="231"/>
        <v>0.66034133306574327</v>
      </c>
      <c r="G278" s="1406">
        <f t="shared" si="231"/>
        <v>0.66013617113591549</v>
      </c>
      <c r="H278" s="1406">
        <f t="shared" si="231"/>
        <v>0.65989805171216875</v>
      </c>
      <c r="I278" s="1406">
        <f t="shared" si="231"/>
        <v>0.66791053990094595</v>
      </c>
      <c r="J278" s="1406">
        <f t="shared" ref="J278" si="232">J277/J203</f>
        <v>0.68039750092468199</v>
      </c>
      <c r="K278" s="1529"/>
      <c r="M278" s="1578"/>
      <c r="N278" s="434"/>
      <c r="AC278" s="1010"/>
      <c r="AD278" s="1012"/>
      <c r="AE278" s="1012"/>
      <c r="AF278" s="1012"/>
      <c r="AG278" s="1012"/>
      <c r="AH278" s="1012"/>
      <c r="AI278" s="1023"/>
    </row>
    <row r="279" spans="1:35" ht="16.2" thickBot="1">
      <c r="A279" s="1403" t="s">
        <v>1036</v>
      </c>
      <c r="B279" s="1407"/>
      <c r="C279" s="1408">
        <v>5.1588389814170216E-2</v>
      </c>
      <c r="D279" s="1408">
        <f t="shared" ref="D279:J279" si="233">(D277-C277)/C277</f>
        <v>4.9478183033179329E-2</v>
      </c>
      <c r="E279" s="1408">
        <f t="shared" si="233"/>
        <v>4.966621767670993E-2</v>
      </c>
      <c r="F279" s="1408">
        <f t="shared" si="233"/>
        <v>0.13699816823791874</v>
      </c>
      <c r="G279" s="1408">
        <f t="shared" si="233"/>
        <v>3.5371334295579787E-2</v>
      </c>
      <c r="H279" s="1408">
        <f t="shared" si="233"/>
        <v>3.5381809369496399E-2</v>
      </c>
      <c r="I279" s="1408">
        <f t="shared" si="233"/>
        <v>2.9058890994473785E-2</v>
      </c>
      <c r="J279" s="1408">
        <f t="shared" si="233"/>
        <v>3.5735157646934392E-2</v>
      </c>
      <c r="K279" s="1530"/>
      <c r="AC279" s="1010"/>
      <c r="AD279" s="1012"/>
      <c r="AE279" s="1012"/>
      <c r="AF279" s="1012"/>
      <c r="AG279" s="1012"/>
      <c r="AH279" s="1012"/>
      <c r="AI279" s="1023"/>
    </row>
    <row r="280" spans="1:35" ht="12" customHeight="1">
      <c r="A280" s="759"/>
      <c r="C280" s="378"/>
      <c r="D280" s="664"/>
      <c r="M280" s="1006"/>
      <c r="AC280" s="1010"/>
      <c r="AD280" s="1012"/>
      <c r="AE280" s="1012"/>
      <c r="AF280" s="1012"/>
      <c r="AG280" s="1012"/>
      <c r="AH280" s="1012"/>
      <c r="AI280" s="1023"/>
    </row>
    <row r="281" spans="1:35" ht="15" customHeight="1">
      <c r="A281" s="867" t="s">
        <v>401</v>
      </c>
      <c r="B281" s="819"/>
      <c r="C281" s="660"/>
      <c r="D281" s="414"/>
      <c r="E281" s="479"/>
      <c r="F281" s="583"/>
      <c r="G281" s="658"/>
      <c r="H281" s="668"/>
      <c r="I281" s="712"/>
      <c r="J281" s="712"/>
      <c r="K281" s="415"/>
      <c r="M281" s="1006"/>
      <c r="AC281" s="1010"/>
      <c r="AD281" s="1012"/>
      <c r="AE281" s="1012"/>
      <c r="AF281" s="1012"/>
      <c r="AG281" s="1012"/>
      <c r="AH281" s="1012"/>
      <c r="AI281" s="1023"/>
    </row>
    <row r="282" spans="1:35" s="319" customFormat="1">
      <c r="A282" s="820"/>
      <c r="B282" s="821"/>
      <c r="C282" s="415"/>
      <c r="D282" s="415"/>
      <c r="E282" s="415"/>
      <c r="F282" s="415"/>
      <c r="G282" s="415"/>
      <c r="H282" s="415"/>
      <c r="I282" s="415"/>
      <c r="J282" s="415"/>
      <c r="K282" s="415"/>
      <c r="L282" s="352"/>
      <c r="M282" s="352"/>
      <c r="N282" s="352"/>
      <c r="O282" s="352"/>
      <c r="P282" s="352"/>
      <c r="Q282" s="352"/>
      <c r="R282" s="352"/>
      <c r="S282" s="352"/>
      <c r="T282" s="352"/>
      <c r="U282" s="352"/>
      <c r="V282" s="352"/>
      <c r="W282" s="352"/>
      <c r="AC282" s="1010"/>
      <c r="AD282" s="1012"/>
      <c r="AE282" s="1012"/>
      <c r="AF282" s="1012"/>
      <c r="AG282" s="1012"/>
      <c r="AH282" s="1012"/>
      <c r="AI282" s="1023"/>
    </row>
    <row r="283" spans="1:35" s="319" customFormat="1" ht="17.25" customHeight="1">
      <c r="A283" s="822"/>
      <c r="B283" s="822"/>
      <c r="C283" s="932"/>
      <c r="D283" s="932"/>
      <c r="E283" s="415"/>
      <c r="F283" s="932">
        <f>3758656-F294</f>
        <v>0</v>
      </c>
      <c r="G283" s="415"/>
      <c r="H283" s="415"/>
      <c r="I283" s="415"/>
      <c r="J283" s="415"/>
      <c r="K283" s="416"/>
      <c r="L283" s="352"/>
      <c r="M283" s="352"/>
      <c r="N283" s="352"/>
      <c r="O283" s="352"/>
      <c r="P283" s="352"/>
      <c r="Q283" s="352"/>
      <c r="R283" s="352"/>
      <c r="S283" s="352"/>
      <c r="T283" s="352"/>
      <c r="U283" s="352"/>
      <c r="V283" s="352"/>
      <c r="W283" s="352"/>
      <c r="AC283" s="1370"/>
      <c r="AD283" s="1371"/>
      <c r="AE283" s="1371"/>
      <c r="AF283" s="1371"/>
      <c r="AG283" s="1371"/>
      <c r="AH283" s="1371"/>
      <c r="AI283" s="1023"/>
    </row>
    <row r="284" spans="1:35" s="319" customFormat="1">
      <c r="A284" s="868" t="s">
        <v>265</v>
      </c>
      <c r="B284" s="416"/>
      <c r="C284" s="914" t="s">
        <v>431</v>
      </c>
      <c r="D284" s="914" t="str">
        <f t="shared" ref="D284:G284" si="234">+D271</f>
        <v>FY20</v>
      </c>
      <c r="E284" s="914" t="str">
        <f t="shared" si="234"/>
        <v>FY21</v>
      </c>
      <c r="F284" s="914" t="str">
        <f t="shared" si="234"/>
        <v>FY22</v>
      </c>
      <c r="G284" s="914" t="str">
        <f t="shared" si="234"/>
        <v>FY23</v>
      </c>
      <c r="H284" s="914" t="str">
        <f t="shared" ref="H284:I284" si="235">+H271</f>
        <v>FY24</v>
      </c>
      <c r="I284" s="914" t="str">
        <f t="shared" si="235"/>
        <v>FY25</v>
      </c>
      <c r="J284" s="914" t="str">
        <f t="shared" ref="J284" si="236">+J271</f>
        <v>FY26</v>
      </c>
      <c r="K284" s="932"/>
      <c r="L284" s="352"/>
      <c r="M284" s="1515"/>
      <c r="N284" s="352"/>
      <c r="O284" s="352"/>
      <c r="P284" s="352"/>
      <c r="Q284" s="418"/>
      <c r="R284" s="418"/>
      <c r="S284" s="418"/>
      <c r="T284" s="418"/>
      <c r="U284" s="352"/>
      <c r="V284" s="1007"/>
      <c r="W284" s="352"/>
      <c r="AC284" s="1029" t="str">
        <f t="shared" ref="AC284:AC294" si="237">A284</f>
        <v>Source</v>
      </c>
      <c r="AD284" s="1017" t="str">
        <f t="shared" ref="AD284:AD294" si="238">F284</f>
        <v>FY22</v>
      </c>
      <c r="AE284" s="1017" t="str">
        <f t="shared" ref="AE284:AE294" si="239">G284</f>
        <v>FY23</v>
      </c>
      <c r="AF284" s="1017" t="str">
        <f t="shared" ref="AF284:AF294" si="240">H284</f>
        <v>FY24</v>
      </c>
      <c r="AG284" s="1017" t="str">
        <f t="shared" ref="AG284:AG294" si="241">I284</f>
        <v>FY25</v>
      </c>
      <c r="AH284" s="1017" t="str">
        <f t="shared" ref="AH284:AH294" si="242">J284</f>
        <v>FY26</v>
      </c>
      <c r="AI284" s="1023"/>
    </row>
    <row r="285" spans="1:35" s="319" customFormat="1">
      <c r="A285" s="820" t="s">
        <v>416</v>
      </c>
      <c r="B285" s="821">
        <v>3510800</v>
      </c>
      <c r="C285" s="417">
        <v>1772749.67</v>
      </c>
      <c r="D285" s="417">
        <v>1790836.4999999995</v>
      </c>
      <c r="E285" s="417">
        <v>2030775</v>
      </c>
      <c r="F285" s="360">
        <v>0</v>
      </c>
      <c r="G285" s="360">
        <f t="shared" ref="G285:J286" si="243">ROUND(F285*1,0)</f>
        <v>0</v>
      </c>
      <c r="H285" s="360">
        <f t="shared" si="243"/>
        <v>0</v>
      </c>
      <c r="I285" s="360">
        <f t="shared" si="243"/>
        <v>0</v>
      </c>
      <c r="J285" s="360">
        <f t="shared" si="243"/>
        <v>0</v>
      </c>
      <c r="K285" s="1531"/>
      <c r="L285" s="352"/>
      <c r="M285" s="434"/>
      <c r="N285" s="434"/>
      <c r="O285" s="352"/>
      <c r="P285" s="352"/>
      <c r="Q285" s="418"/>
      <c r="R285" s="418"/>
      <c r="S285" s="418"/>
      <c r="T285" s="418"/>
      <c r="U285" s="352"/>
      <c r="V285" s="352"/>
      <c r="W285" s="352"/>
      <c r="AC285" s="1010" t="str">
        <f t="shared" si="237"/>
        <v>Open Enrollment</v>
      </c>
      <c r="AD285" s="1012">
        <f t="shared" si="238"/>
        <v>0</v>
      </c>
      <c r="AE285" s="1012">
        <f t="shared" si="239"/>
        <v>0</v>
      </c>
      <c r="AF285" s="1012">
        <f t="shared" si="240"/>
        <v>0</v>
      </c>
      <c r="AG285" s="1012">
        <f t="shared" si="241"/>
        <v>0</v>
      </c>
      <c r="AH285" s="1012">
        <f t="shared" si="242"/>
        <v>0</v>
      </c>
      <c r="AI285" s="1024"/>
    </row>
    <row r="286" spans="1:35" s="319" customFormat="1">
      <c r="A286" s="820" t="s">
        <v>679</v>
      </c>
      <c r="B286" s="821">
        <v>5451089</v>
      </c>
      <c r="C286" s="419">
        <v>1530222.9499999997</v>
      </c>
      <c r="D286" s="419">
        <v>1447206.07</v>
      </c>
      <c r="E286" s="419">
        <v>1711200</v>
      </c>
      <c r="F286" s="367">
        <v>0</v>
      </c>
      <c r="G286" s="367">
        <f t="shared" si="243"/>
        <v>0</v>
      </c>
      <c r="H286" s="367">
        <f t="shared" si="243"/>
        <v>0</v>
      </c>
      <c r="I286" s="367">
        <f t="shared" si="243"/>
        <v>0</v>
      </c>
      <c r="J286" s="367">
        <f t="shared" si="243"/>
        <v>0</v>
      </c>
      <c r="K286" s="1531"/>
      <c r="L286" s="352"/>
      <c r="M286" s="1003"/>
      <c r="N286" s="434"/>
      <c r="O286" s="352"/>
      <c r="P286" s="352"/>
      <c r="Q286" s="418"/>
      <c r="R286" s="418"/>
      <c r="S286" s="418"/>
      <c r="T286" s="418"/>
      <c r="U286" s="352"/>
      <c r="V286" s="352"/>
      <c r="W286" s="352"/>
      <c r="AC286" s="1010" t="str">
        <f t="shared" si="237"/>
        <v>Community School</v>
      </c>
      <c r="AD286" s="1014">
        <f t="shared" si="238"/>
        <v>0</v>
      </c>
      <c r="AE286" s="1014">
        <f t="shared" si="239"/>
        <v>0</v>
      </c>
      <c r="AF286" s="1014">
        <f t="shared" si="240"/>
        <v>0</v>
      </c>
      <c r="AG286" s="1014">
        <f t="shared" si="241"/>
        <v>0</v>
      </c>
      <c r="AH286" s="1014">
        <f t="shared" si="242"/>
        <v>0</v>
      </c>
      <c r="AI286" s="1024"/>
    </row>
    <row r="287" spans="1:35" s="319" customFormat="1">
      <c r="A287" s="820" t="s">
        <v>1000</v>
      </c>
      <c r="B287" s="821"/>
      <c r="C287" s="419">
        <v>1192846.2699999991</v>
      </c>
      <c r="D287" s="419">
        <v>1165291</v>
      </c>
      <c r="E287" s="419">
        <v>1105370</v>
      </c>
      <c r="F287" s="1582">
        <f>ROUND(E287*1,0)+301953+287220</f>
        <v>1694543</v>
      </c>
      <c r="G287" s="367">
        <f>ROUND(F287*1,0)</f>
        <v>1694543</v>
      </c>
      <c r="H287" s="367">
        <f t="shared" ref="H287:J289" si="244">ROUND(G287*1,0)</f>
        <v>1694543</v>
      </c>
      <c r="I287" s="367">
        <f t="shared" si="244"/>
        <v>1694543</v>
      </c>
      <c r="J287" s="367">
        <f t="shared" si="244"/>
        <v>1694543</v>
      </c>
      <c r="K287" s="1531"/>
      <c r="L287" s="352"/>
      <c r="M287" s="1003"/>
      <c r="N287" s="434"/>
      <c r="O287" s="352"/>
      <c r="P287" s="352"/>
      <c r="Q287" s="418"/>
      <c r="R287" s="418"/>
      <c r="S287" s="418"/>
      <c r="T287" s="418"/>
      <c r="U287" s="352"/>
      <c r="V287" s="352"/>
      <c r="W287" s="352"/>
      <c r="AC287" s="1010" t="str">
        <f t="shared" si="237"/>
        <v>ESC and Professional Support</v>
      </c>
      <c r="AD287" s="1014">
        <f t="shared" si="238"/>
        <v>1694543</v>
      </c>
      <c r="AE287" s="1014">
        <f t="shared" si="239"/>
        <v>1694543</v>
      </c>
      <c r="AF287" s="1014">
        <f t="shared" si="240"/>
        <v>1694543</v>
      </c>
      <c r="AG287" s="1014">
        <f t="shared" si="241"/>
        <v>1694543</v>
      </c>
      <c r="AH287" s="1014">
        <f t="shared" si="242"/>
        <v>1694543</v>
      </c>
      <c r="AI287" s="1024"/>
    </row>
    <row r="288" spans="1:35" s="319" customFormat="1">
      <c r="A288" s="820" t="s">
        <v>1068</v>
      </c>
      <c r="B288" s="821">
        <v>511508</v>
      </c>
      <c r="C288" s="419">
        <v>1278265</v>
      </c>
      <c r="D288" s="419">
        <v>1303692</v>
      </c>
      <c r="E288" s="419">
        <v>1154688</v>
      </c>
      <c r="F288" s="367">
        <f>ROUND(E288*1.01,0)-528833</f>
        <v>637402</v>
      </c>
      <c r="G288" s="367">
        <f t="shared" ref="G288:J288" si="245">ROUND(F288*1.01,0)</f>
        <v>643776</v>
      </c>
      <c r="H288" s="367">
        <f t="shared" si="245"/>
        <v>650214</v>
      </c>
      <c r="I288" s="367">
        <f t="shared" si="245"/>
        <v>656716</v>
      </c>
      <c r="J288" s="367">
        <f t="shared" si="245"/>
        <v>663283</v>
      </c>
      <c r="K288" s="1531"/>
      <c r="L288" s="352"/>
      <c r="M288" s="1003"/>
      <c r="N288" s="434"/>
      <c r="O288" s="352"/>
      <c r="P288" s="352"/>
      <c r="Q288" s="418"/>
      <c r="R288" s="418"/>
      <c r="S288" s="418"/>
      <c r="T288" s="418"/>
      <c r="U288" s="352"/>
      <c r="V288" s="352"/>
      <c r="W288" s="352"/>
      <c r="AC288" s="1010" t="str">
        <f t="shared" si="237"/>
        <v>Other SF-6, SF-14, SF-14H, CCP, Scholarship</v>
      </c>
      <c r="AD288" s="1014">
        <f t="shared" si="238"/>
        <v>637402</v>
      </c>
      <c r="AE288" s="1014">
        <f t="shared" si="239"/>
        <v>643776</v>
      </c>
      <c r="AF288" s="1014">
        <f t="shared" si="240"/>
        <v>650214</v>
      </c>
      <c r="AG288" s="1014">
        <f t="shared" si="241"/>
        <v>656716</v>
      </c>
      <c r="AH288" s="1014">
        <f t="shared" si="242"/>
        <v>663283</v>
      </c>
      <c r="AI288" s="1024"/>
    </row>
    <row r="289" spans="1:35" s="319" customFormat="1">
      <c r="A289" s="820" t="s">
        <v>976</v>
      </c>
      <c r="B289" s="821"/>
      <c r="C289" s="419">
        <v>706068.47</v>
      </c>
      <c r="D289" s="419">
        <v>771665</v>
      </c>
      <c r="E289" s="419">
        <v>672004</v>
      </c>
      <c r="F289" s="367">
        <f>ROUND(E289*1,0)</f>
        <v>672004</v>
      </c>
      <c r="G289" s="367">
        <f>ROUND(F289*1,0)</f>
        <v>672004</v>
      </c>
      <c r="H289" s="367">
        <f t="shared" si="244"/>
        <v>672004</v>
      </c>
      <c r="I289" s="367">
        <f t="shared" si="244"/>
        <v>672004</v>
      </c>
      <c r="J289" s="367">
        <f t="shared" si="244"/>
        <v>672004</v>
      </c>
      <c r="K289" s="1531"/>
      <c r="L289" s="352"/>
      <c r="M289" s="1003"/>
      <c r="N289" s="434"/>
      <c r="O289" s="352"/>
      <c r="P289" s="352"/>
      <c r="Q289" s="418"/>
      <c r="R289" s="418"/>
      <c r="S289" s="418"/>
      <c r="T289" s="418"/>
      <c r="U289" s="352"/>
      <c r="V289" s="352"/>
      <c r="W289" s="352"/>
      <c r="AC289" s="1010" t="str">
        <f t="shared" si="237"/>
        <v>Building Maintenance Repairs</v>
      </c>
      <c r="AD289" s="1014">
        <f t="shared" si="238"/>
        <v>672004</v>
      </c>
      <c r="AE289" s="1014">
        <f t="shared" si="239"/>
        <v>672004</v>
      </c>
      <c r="AF289" s="1014">
        <f t="shared" si="240"/>
        <v>672004</v>
      </c>
      <c r="AG289" s="1014">
        <f t="shared" si="241"/>
        <v>672004</v>
      </c>
      <c r="AH289" s="1014">
        <f t="shared" si="242"/>
        <v>672004</v>
      </c>
      <c r="AI289" s="1024"/>
    </row>
    <row r="290" spans="1:35" s="319" customFormat="1">
      <c r="A290" s="820" t="s">
        <v>236</v>
      </c>
      <c r="B290" s="821">
        <v>2978606</v>
      </c>
      <c r="C290" s="419">
        <v>528909.4</v>
      </c>
      <c r="D290" s="419">
        <v>470561</v>
      </c>
      <c r="E290" s="419">
        <v>555722</v>
      </c>
      <c r="F290" s="367">
        <f t="shared" ref="F290:J290" si="246">ROUND(E290*1.03,0)</f>
        <v>572394</v>
      </c>
      <c r="G290" s="367">
        <f t="shared" si="246"/>
        <v>589566</v>
      </c>
      <c r="H290" s="367">
        <f t="shared" si="246"/>
        <v>607253</v>
      </c>
      <c r="I290" s="367">
        <f t="shared" si="246"/>
        <v>625471</v>
      </c>
      <c r="J290" s="367">
        <f t="shared" si="246"/>
        <v>644235</v>
      </c>
      <c r="K290" s="1531"/>
      <c r="L290" s="352"/>
      <c r="M290" s="1003"/>
      <c r="N290" s="434"/>
      <c r="O290" s="352"/>
      <c r="P290" s="352"/>
      <c r="Q290" s="418"/>
      <c r="R290" s="418"/>
      <c r="S290" s="418"/>
      <c r="T290" s="418"/>
      <c r="U290" s="352"/>
      <c r="V290" s="352"/>
      <c r="W290" s="352"/>
      <c r="AC290" s="1010" t="str">
        <f t="shared" si="237"/>
        <v>Utilities</v>
      </c>
      <c r="AD290" s="1014">
        <f t="shared" si="238"/>
        <v>572394</v>
      </c>
      <c r="AE290" s="1014">
        <f t="shared" si="239"/>
        <v>589566</v>
      </c>
      <c r="AF290" s="1014">
        <f t="shared" si="240"/>
        <v>607253</v>
      </c>
      <c r="AG290" s="1014">
        <f t="shared" si="241"/>
        <v>625471</v>
      </c>
      <c r="AH290" s="1014">
        <f t="shared" si="242"/>
        <v>644235</v>
      </c>
      <c r="AI290" s="1024"/>
    </row>
    <row r="291" spans="1:35" s="319" customFormat="1">
      <c r="A291" s="820" t="s">
        <v>984</v>
      </c>
      <c r="B291" s="823">
        <v>1799928</v>
      </c>
      <c r="C291" s="419">
        <v>112022</v>
      </c>
      <c r="D291" s="419">
        <v>122922</v>
      </c>
      <c r="E291" s="419">
        <f>22803+1045+551+3250+84621</f>
        <v>112270</v>
      </c>
      <c r="F291" s="367">
        <f>+D291</f>
        <v>122922</v>
      </c>
      <c r="G291" s="367">
        <f t="shared" ref="E291:J292" si="247">ROUND(F291*1,0)</f>
        <v>122922</v>
      </c>
      <c r="H291" s="367">
        <f t="shared" si="247"/>
        <v>122922</v>
      </c>
      <c r="I291" s="367">
        <f t="shared" si="247"/>
        <v>122922</v>
      </c>
      <c r="J291" s="367">
        <f t="shared" si="247"/>
        <v>122922</v>
      </c>
      <c r="K291" s="1531"/>
      <c r="L291" s="352"/>
      <c r="M291" s="1003"/>
      <c r="N291" s="434"/>
      <c r="O291" s="352"/>
      <c r="P291" s="352"/>
      <c r="Q291" s="418"/>
      <c r="R291" s="418"/>
      <c r="S291" s="418"/>
      <c r="T291" s="418"/>
      <c r="U291" s="352"/>
      <c r="V291" s="352"/>
      <c r="W291" s="352"/>
      <c r="AC291" s="1010" t="str">
        <f t="shared" si="237"/>
        <v xml:space="preserve">PD ond Other Misc. </v>
      </c>
      <c r="AD291" s="1014">
        <f t="shared" si="238"/>
        <v>122922</v>
      </c>
      <c r="AE291" s="1014">
        <f t="shared" si="239"/>
        <v>122922</v>
      </c>
      <c r="AF291" s="1014">
        <f t="shared" si="240"/>
        <v>122922</v>
      </c>
      <c r="AG291" s="1014">
        <f t="shared" si="241"/>
        <v>122922</v>
      </c>
      <c r="AH291" s="1014">
        <f t="shared" si="242"/>
        <v>122922</v>
      </c>
      <c r="AI291" s="1024"/>
    </row>
    <row r="292" spans="1:35" s="319" customFormat="1" hidden="1">
      <c r="A292" s="820" t="s">
        <v>977</v>
      </c>
      <c r="B292" s="821">
        <v>3093673</v>
      </c>
      <c r="C292" s="419">
        <v>0</v>
      </c>
      <c r="D292" s="419">
        <v>0</v>
      </c>
      <c r="E292" s="367">
        <f t="shared" si="247"/>
        <v>0</v>
      </c>
      <c r="F292" s="367">
        <f t="shared" si="247"/>
        <v>0</v>
      </c>
      <c r="G292" s="367">
        <f t="shared" si="247"/>
        <v>0</v>
      </c>
      <c r="H292" s="367">
        <f t="shared" si="247"/>
        <v>0</v>
      </c>
      <c r="I292" s="367">
        <f t="shared" si="247"/>
        <v>0</v>
      </c>
      <c r="J292" s="367">
        <f t="shared" si="247"/>
        <v>0</v>
      </c>
      <c r="K292" s="1532"/>
      <c r="L292" s="352"/>
      <c r="M292" s="1003"/>
      <c r="N292" s="434"/>
      <c r="O292" s="352"/>
      <c r="P292" s="352"/>
      <c r="Q292" s="352"/>
      <c r="R292" s="352"/>
      <c r="S292" s="352"/>
      <c r="T292" s="352"/>
      <c r="U292" s="352"/>
      <c r="V292" s="352"/>
      <c r="W292" s="352"/>
      <c r="AC292" s="1010" t="str">
        <f t="shared" si="237"/>
        <v>Other Tuition Including Ed Scholarship</v>
      </c>
      <c r="AD292" s="1014">
        <f t="shared" si="238"/>
        <v>0</v>
      </c>
      <c r="AE292" s="1014">
        <f t="shared" si="239"/>
        <v>0</v>
      </c>
      <c r="AF292" s="1014">
        <f t="shared" si="240"/>
        <v>0</v>
      </c>
      <c r="AG292" s="1014">
        <f t="shared" si="241"/>
        <v>0</v>
      </c>
      <c r="AH292" s="1014">
        <f t="shared" si="242"/>
        <v>0</v>
      </c>
      <c r="AI292" s="1024"/>
    </row>
    <row r="293" spans="1:35" ht="15" customHeight="1">
      <c r="A293" s="820" t="s">
        <v>966</v>
      </c>
      <c r="B293" s="824">
        <v>0</v>
      </c>
      <c r="C293" s="420">
        <v>96099</v>
      </c>
      <c r="D293" s="420">
        <v>92840</v>
      </c>
      <c r="E293" s="420">
        <v>59391</v>
      </c>
      <c r="F293" s="344">
        <f t="shared" ref="F293:J293" si="248">+E293</f>
        <v>59391</v>
      </c>
      <c r="G293" s="344">
        <f t="shared" si="248"/>
        <v>59391</v>
      </c>
      <c r="H293" s="344">
        <f t="shared" si="248"/>
        <v>59391</v>
      </c>
      <c r="I293" s="344">
        <f t="shared" si="248"/>
        <v>59391</v>
      </c>
      <c r="J293" s="344">
        <f t="shared" si="248"/>
        <v>59391</v>
      </c>
      <c r="K293" s="1532"/>
      <c r="M293" s="1563"/>
      <c r="N293" s="434"/>
      <c r="Q293" s="434"/>
      <c r="R293" s="1008"/>
      <c r="S293" s="1009"/>
      <c r="T293" s="1007"/>
      <c r="AC293" s="1010" t="str">
        <f t="shared" si="237"/>
        <v>Phone Service and Postage</v>
      </c>
      <c r="AD293" s="1015">
        <f t="shared" si="238"/>
        <v>59391</v>
      </c>
      <c r="AE293" s="1015">
        <f t="shared" si="239"/>
        <v>59391</v>
      </c>
      <c r="AF293" s="1015">
        <f t="shared" si="240"/>
        <v>59391</v>
      </c>
      <c r="AG293" s="1015">
        <f t="shared" si="241"/>
        <v>59391</v>
      </c>
      <c r="AH293" s="1015">
        <f t="shared" si="242"/>
        <v>59391</v>
      </c>
      <c r="AI293" s="1024"/>
    </row>
    <row r="294" spans="1:35" s="1036" customFormat="1" ht="15" customHeight="1">
      <c r="A294" s="1396" t="s">
        <v>1032</v>
      </c>
      <c r="B294" s="1394">
        <v>17345604</v>
      </c>
      <c r="C294" s="1394">
        <v>7217183</v>
      </c>
      <c r="D294" s="1394">
        <f t="shared" ref="D294:I294" si="249">ROUND(SUM(D285:D293),0)</f>
        <v>7165014</v>
      </c>
      <c r="E294" s="1394">
        <f t="shared" si="249"/>
        <v>7401420</v>
      </c>
      <c r="F294" s="1394">
        <f t="shared" si="249"/>
        <v>3758656</v>
      </c>
      <c r="G294" s="1394">
        <f t="shared" si="249"/>
        <v>3782202</v>
      </c>
      <c r="H294" s="1394">
        <f t="shared" si="249"/>
        <v>3806327</v>
      </c>
      <c r="I294" s="1394">
        <f t="shared" si="249"/>
        <v>3831047</v>
      </c>
      <c r="J294" s="1394">
        <f t="shared" ref="J294" si="250">ROUND(SUM(J285:J293),0)</f>
        <v>3856378</v>
      </c>
      <c r="K294" s="1532"/>
      <c r="L294" s="1031"/>
      <c r="M294" s="1579"/>
      <c r="N294" s="434"/>
      <c r="O294" s="1031"/>
      <c r="P294" s="1031"/>
      <c r="Q294" s="1032"/>
      <c r="R294" s="1033"/>
      <c r="S294" s="1034"/>
      <c r="T294" s="1035"/>
      <c r="U294" s="1031"/>
      <c r="V294" s="1031"/>
      <c r="W294" s="1031"/>
      <c r="AC294" s="1010" t="str">
        <f t="shared" si="237"/>
        <v>Total Purchased Services Line #3.030</v>
      </c>
      <c r="AD294" s="1016">
        <f t="shared" si="238"/>
        <v>3758656</v>
      </c>
      <c r="AE294" s="1016">
        <f t="shared" si="239"/>
        <v>3782202</v>
      </c>
      <c r="AF294" s="1016">
        <f t="shared" si="240"/>
        <v>3806327</v>
      </c>
      <c r="AG294" s="1016">
        <f t="shared" si="241"/>
        <v>3831047</v>
      </c>
      <c r="AH294" s="1016">
        <f t="shared" si="242"/>
        <v>3856378</v>
      </c>
      <c r="AI294" s="1037"/>
    </row>
    <row r="295" spans="1:35" s="1036" customFormat="1" ht="15" customHeight="1" thickBot="1">
      <c r="A295" s="1395" t="s">
        <v>1033</v>
      </c>
      <c r="B295" s="1397"/>
      <c r="C295" s="1399">
        <v>7.0642357258228178E-2</v>
      </c>
      <c r="D295" s="1399">
        <f t="shared" ref="D295:F295" si="251">(D294-C294)/C294</f>
        <v>-7.2284435630910289E-3</v>
      </c>
      <c r="E295" s="1399">
        <f t="shared" si="251"/>
        <v>3.2994492404341429E-2</v>
      </c>
      <c r="F295" s="1399">
        <f t="shared" si="251"/>
        <v>-0.49217096178841357</v>
      </c>
      <c r="G295" s="1399">
        <f>(G294-F294)/F294</f>
        <v>6.2644732585264524E-3</v>
      </c>
      <c r="H295" s="1399">
        <f t="shared" ref="H295:J295" si="252">(H294-G294)/G294</f>
        <v>6.3785593683256476E-3</v>
      </c>
      <c r="I295" s="1399">
        <f t="shared" si="252"/>
        <v>6.4944498988132125E-3</v>
      </c>
      <c r="J295" s="1399">
        <f t="shared" si="252"/>
        <v>6.6120306015561804E-3</v>
      </c>
      <c r="K295" s="1487"/>
      <c r="L295" s="352"/>
      <c r="M295" s="1571"/>
      <c r="N295" s="434"/>
      <c r="O295" s="1031"/>
      <c r="P295" s="1031"/>
      <c r="Q295" s="1032"/>
      <c r="R295" s="1033"/>
      <c r="S295" s="1034"/>
      <c r="T295" s="1035"/>
      <c r="U295" s="1031"/>
      <c r="V295" s="1031"/>
      <c r="W295" s="1031"/>
      <c r="AC295" s="1010"/>
      <c r="AD295" s="1016"/>
      <c r="AE295" s="1016"/>
      <c r="AF295" s="1016"/>
      <c r="AG295" s="1016"/>
      <c r="AH295" s="1016"/>
      <c r="AI295" s="1037"/>
    </row>
    <row r="296" spans="1:35">
      <c r="A296" s="750"/>
      <c r="B296" s="750"/>
      <c r="C296" s="1549"/>
      <c r="D296" s="1549"/>
      <c r="E296" s="1398"/>
      <c r="F296" s="1398"/>
      <c r="G296" s="1398"/>
      <c r="H296" s="1398"/>
      <c r="I296" s="1398"/>
      <c r="J296" s="1398"/>
      <c r="K296" s="319"/>
      <c r="L296" s="1514"/>
      <c r="M296" s="418"/>
      <c r="Q296" s="1003"/>
      <c r="R296" s="1008"/>
      <c r="S296" s="1009"/>
      <c r="T296" s="1007"/>
      <c r="AC296" s="1010"/>
      <c r="AD296" s="1012"/>
      <c r="AE296" s="1012"/>
      <c r="AF296" s="1012"/>
      <c r="AG296" s="1012"/>
      <c r="AH296" s="1012"/>
      <c r="AI296" s="1024"/>
    </row>
    <row r="297" spans="1:35" ht="15" customHeight="1">
      <c r="A297" s="869" t="s">
        <v>402</v>
      </c>
      <c r="B297" s="760"/>
      <c r="C297" s="346"/>
      <c r="D297" s="736"/>
      <c r="E297" s="1038"/>
      <c r="F297" s="584"/>
      <c r="G297" s="654"/>
      <c r="H297" s="669"/>
      <c r="I297" s="713"/>
      <c r="J297" s="736"/>
      <c r="K297" s="347"/>
      <c r="M297" s="1031"/>
      <c r="Q297" s="1003"/>
      <c r="R297" s="1008"/>
      <c r="S297" s="1009"/>
      <c r="T297" s="1007"/>
      <c r="AC297" s="1010"/>
      <c r="AD297" s="1012"/>
      <c r="AE297" s="1012"/>
      <c r="AF297" s="1012"/>
      <c r="AG297" s="1012"/>
      <c r="AH297" s="1012"/>
      <c r="AI297" s="1023"/>
    </row>
    <row r="298" spans="1:35">
      <c r="A298" s="761" t="s">
        <v>247</v>
      </c>
      <c r="B298" s="762"/>
      <c r="C298" s="347"/>
      <c r="D298" s="347"/>
      <c r="E298" s="347"/>
      <c r="F298" s="347"/>
      <c r="G298" s="347"/>
      <c r="H298" s="347"/>
      <c r="I298" s="347"/>
      <c r="J298" s="347"/>
      <c r="K298" s="347"/>
      <c r="Q298" s="1003"/>
      <c r="R298" s="1008"/>
      <c r="S298" s="1009"/>
      <c r="T298" s="1007"/>
      <c r="AC298" s="1010"/>
      <c r="AD298" s="1012"/>
      <c r="AE298" s="1012"/>
      <c r="AF298" s="1012"/>
      <c r="AG298" s="1012"/>
      <c r="AH298" s="1012"/>
      <c r="AI298" s="1023"/>
    </row>
    <row r="299" spans="1:35">
      <c r="A299" s="763"/>
      <c r="B299" s="762"/>
      <c r="C299" s="347"/>
      <c r="D299" s="347"/>
      <c r="E299" s="347"/>
      <c r="F299" s="347"/>
      <c r="G299" s="347"/>
      <c r="H299" s="347"/>
      <c r="I299" s="347"/>
      <c r="J299" s="347"/>
      <c r="K299" s="347"/>
      <c r="Q299" s="1003"/>
      <c r="R299" s="1008"/>
      <c r="S299" s="1009"/>
      <c r="T299" s="1007"/>
      <c r="AC299" s="1010"/>
      <c r="AD299" s="1012"/>
      <c r="AE299" s="1012"/>
      <c r="AF299" s="1012"/>
      <c r="AG299" s="1012"/>
      <c r="AH299" s="1012"/>
      <c r="AI299" s="1023"/>
    </row>
    <row r="300" spans="1:35">
      <c r="A300" s="763"/>
      <c r="B300" s="762"/>
      <c r="C300" s="347"/>
      <c r="D300" s="347"/>
      <c r="E300" s="347"/>
      <c r="F300" s="347"/>
      <c r="G300" s="347"/>
      <c r="H300" s="347"/>
      <c r="I300" s="347"/>
      <c r="J300" s="347"/>
      <c r="K300" s="347"/>
      <c r="Q300" s="1003"/>
      <c r="R300" s="1008"/>
      <c r="S300" s="1009"/>
      <c r="T300" s="1007"/>
      <c r="AC300" s="1010"/>
      <c r="AD300" s="1012"/>
      <c r="AE300" s="1012"/>
      <c r="AF300" s="1012"/>
      <c r="AG300" s="1012"/>
      <c r="AH300" s="1012"/>
      <c r="AI300" s="1023"/>
    </row>
    <row r="301" spans="1:35">
      <c r="A301" s="763"/>
      <c r="B301" s="762"/>
      <c r="C301" s="421"/>
      <c r="D301" s="421"/>
      <c r="E301" s="421"/>
      <c r="F301" s="421"/>
      <c r="G301" s="421"/>
      <c r="H301" s="421"/>
      <c r="I301" s="421"/>
      <c r="J301" s="421"/>
      <c r="K301" s="347"/>
      <c r="Q301" s="1003"/>
      <c r="R301" s="1008"/>
      <c r="S301" s="1009"/>
      <c r="T301" s="1007"/>
      <c r="AC301" s="1010"/>
      <c r="AD301" s="1012"/>
      <c r="AE301" s="1012"/>
      <c r="AF301" s="1012"/>
      <c r="AG301" s="1012"/>
      <c r="AH301" s="1012"/>
      <c r="AI301" s="1023"/>
    </row>
    <row r="302" spans="1:35">
      <c r="A302" s="763"/>
      <c r="B302" s="762"/>
      <c r="C302" s="350"/>
      <c r="D302" s="350"/>
      <c r="E302" s="347"/>
      <c r="F302" s="350">
        <f>652926-F308</f>
        <v>0</v>
      </c>
      <c r="G302" s="347"/>
      <c r="H302" s="347"/>
      <c r="I302" s="347"/>
      <c r="J302" s="347"/>
      <c r="K302" s="349"/>
      <c r="AC302" s="1370"/>
      <c r="AD302" s="1371"/>
      <c r="AE302" s="1371"/>
      <c r="AF302" s="1371"/>
      <c r="AG302" s="1371"/>
      <c r="AH302" s="1371"/>
      <c r="AI302" s="1023"/>
    </row>
    <row r="303" spans="1:35">
      <c r="A303" s="761" t="s">
        <v>265</v>
      </c>
      <c r="B303" s="349"/>
      <c r="C303" s="913" t="s">
        <v>431</v>
      </c>
      <c r="D303" s="913" t="str">
        <f t="shared" ref="D303:G303" si="253">+D284</f>
        <v>FY20</v>
      </c>
      <c r="E303" s="913" t="str">
        <f t="shared" si="253"/>
        <v>FY21</v>
      </c>
      <c r="F303" s="913" t="str">
        <f t="shared" si="253"/>
        <v>FY22</v>
      </c>
      <c r="G303" s="913" t="str">
        <f t="shared" si="253"/>
        <v>FY23</v>
      </c>
      <c r="H303" s="913" t="str">
        <f t="shared" ref="H303:I303" si="254">+H284</f>
        <v>FY24</v>
      </c>
      <c r="I303" s="913" t="str">
        <f t="shared" si="254"/>
        <v>FY25</v>
      </c>
      <c r="J303" s="913" t="str">
        <f t="shared" ref="J303" si="255">+J284</f>
        <v>FY26</v>
      </c>
      <c r="K303" s="350"/>
      <c r="M303" s="1574"/>
      <c r="AC303" s="1029" t="str">
        <f t="shared" ref="AC303:AC308" si="256">A303</f>
        <v>Source</v>
      </c>
      <c r="AD303" s="1018" t="str">
        <f t="shared" ref="AD303:AH308" si="257">F303</f>
        <v>FY22</v>
      </c>
      <c r="AE303" s="1018" t="str">
        <f t="shared" si="257"/>
        <v>FY23</v>
      </c>
      <c r="AF303" s="1018" t="str">
        <f t="shared" si="257"/>
        <v>FY24</v>
      </c>
      <c r="AG303" s="1018" t="str">
        <f t="shared" si="257"/>
        <v>FY25</v>
      </c>
      <c r="AH303" s="1018" t="str">
        <f t="shared" si="257"/>
        <v>FY26</v>
      </c>
      <c r="AI303" s="1023"/>
    </row>
    <row r="304" spans="1:35">
      <c r="A304" s="763" t="s">
        <v>302</v>
      </c>
      <c r="B304" s="764"/>
      <c r="C304" s="350">
        <v>377211</v>
      </c>
      <c r="D304" s="350">
        <v>360530</v>
      </c>
      <c r="E304" s="350">
        <v>334292</v>
      </c>
      <c r="F304" s="1583">
        <f>ROUND(E304*1,0)-185408</f>
        <v>148884</v>
      </c>
      <c r="G304" s="360">
        <f>ROUND(F304*1,0)</f>
        <v>148884</v>
      </c>
      <c r="H304" s="360">
        <f t="shared" ref="F304:J307" si="258">ROUND(G304*1,0)</f>
        <v>148884</v>
      </c>
      <c r="I304" s="360">
        <f t="shared" si="258"/>
        <v>148884</v>
      </c>
      <c r="J304" s="360">
        <f t="shared" si="258"/>
        <v>148884</v>
      </c>
      <c r="K304" s="1533"/>
      <c r="M304" s="434"/>
      <c r="N304" s="434"/>
      <c r="AC304" s="1010" t="str">
        <f t="shared" si="256"/>
        <v>Supplies</v>
      </c>
      <c r="AD304" s="1012">
        <f t="shared" si="257"/>
        <v>148884</v>
      </c>
      <c r="AE304" s="1012">
        <f t="shared" si="257"/>
        <v>148884</v>
      </c>
      <c r="AF304" s="1012">
        <f t="shared" si="257"/>
        <v>148884</v>
      </c>
      <c r="AG304" s="1012">
        <f t="shared" si="257"/>
        <v>148884</v>
      </c>
      <c r="AH304" s="1012">
        <f t="shared" si="257"/>
        <v>148884</v>
      </c>
      <c r="AI304" s="1024"/>
    </row>
    <row r="305" spans="1:35">
      <c r="A305" s="763" t="s">
        <v>877</v>
      </c>
      <c r="B305" s="764"/>
      <c r="C305" s="899">
        <v>313153.50000000006</v>
      </c>
      <c r="D305" s="899">
        <v>238743</v>
      </c>
      <c r="E305" s="899">
        <f>56555+195534</f>
        <v>252089</v>
      </c>
      <c r="F305" s="367">
        <f>ROUND((E305-68000)*1,0)</f>
        <v>184089</v>
      </c>
      <c r="G305" s="367">
        <f t="shared" si="258"/>
        <v>184089</v>
      </c>
      <c r="H305" s="367">
        <f t="shared" si="258"/>
        <v>184089</v>
      </c>
      <c r="I305" s="367">
        <f t="shared" si="258"/>
        <v>184089</v>
      </c>
      <c r="J305" s="367">
        <f t="shared" si="258"/>
        <v>184089</v>
      </c>
      <c r="K305" s="1533"/>
      <c r="M305" s="1003"/>
      <c r="N305" s="434"/>
      <c r="AC305" s="1010" t="str">
        <f t="shared" si="256"/>
        <v>Building Maintenance</v>
      </c>
      <c r="AD305" s="1014">
        <f t="shared" si="257"/>
        <v>184089</v>
      </c>
      <c r="AE305" s="1014">
        <f t="shared" si="257"/>
        <v>184089</v>
      </c>
      <c r="AF305" s="1014">
        <f t="shared" si="257"/>
        <v>184089</v>
      </c>
      <c r="AG305" s="1014">
        <f t="shared" si="257"/>
        <v>184089</v>
      </c>
      <c r="AH305" s="1014">
        <f t="shared" si="257"/>
        <v>184089</v>
      </c>
      <c r="AI305" s="1024"/>
    </row>
    <row r="306" spans="1:35">
      <c r="A306" s="763" t="s">
        <v>876</v>
      </c>
      <c r="B306" s="764"/>
      <c r="C306" s="899">
        <v>46561.87</v>
      </c>
      <c r="D306" s="899">
        <f>171382+1311</f>
        <v>172693</v>
      </c>
      <c r="E306" s="899">
        <v>167024</v>
      </c>
      <c r="F306" s="367">
        <f t="shared" si="258"/>
        <v>167024</v>
      </c>
      <c r="G306" s="367">
        <v>172000</v>
      </c>
      <c r="H306" s="367">
        <f t="shared" si="258"/>
        <v>172000</v>
      </c>
      <c r="I306" s="367">
        <f t="shared" si="258"/>
        <v>172000</v>
      </c>
      <c r="J306" s="367">
        <f t="shared" si="258"/>
        <v>172000</v>
      </c>
      <c r="K306" s="1533"/>
      <c r="M306" s="1003"/>
      <c r="N306" s="434"/>
      <c r="AC306" s="1010" t="str">
        <f t="shared" si="256"/>
        <v>Textbooks</v>
      </c>
      <c r="AD306" s="1014">
        <f t="shared" si="257"/>
        <v>167024</v>
      </c>
      <c r="AE306" s="1014">
        <f t="shared" si="257"/>
        <v>172000</v>
      </c>
      <c r="AF306" s="1014">
        <f t="shared" si="257"/>
        <v>172000</v>
      </c>
      <c r="AG306" s="1014">
        <f t="shared" si="257"/>
        <v>172000</v>
      </c>
      <c r="AH306" s="1014">
        <f t="shared" si="257"/>
        <v>172000</v>
      </c>
      <c r="AI306" s="1024"/>
    </row>
    <row r="307" spans="1:35" ht="15.6">
      <c r="A307" s="763" t="s">
        <v>878</v>
      </c>
      <c r="B307" s="825"/>
      <c r="C307" s="900">
        <v>177219.38999999996</v>
      </c>
      <c r="D307" s="900">
        <v>157960</v>
      </c>
      <c r="E307" s="900">
        <v>152929</v>
      </c>
      <c r="F307" s="344">
        <f t="shared" si="258"/>
        <v>152929</v>
      </c>
      <c r="G307" s="344">
        <f t="shared" si="258"/>
        <v>152929</v>
      </c>
      <c r="H307" s="344">
        <f t="shared" si="258"/>
        <v>152929</v>
      </c>
      <c r="I307" s="344">
        <f t="shared" si="258"/>
        <v>152929</v>
      </c>
      <c r="J307" s="344">
        <f t="shared" si="258"/>
        <v>152929</v>
      </c>
      <c r="K307" s="348"/>
      <c r="M307" s="1563"/>
      <c r="N307" s="434"/>
      <c r="AC307" s="1010" t="str">
        <f t="shared" si="256"/>
        <v>Transportation</v>
      </c>
      <c r="AD307" s="1015">
        <f t="shared" si="257"/>
        <v>152929</v>
      </c>
      <c r="AE307" s="1015">
        <f t="shared" si="257"/>
        <v>152929</v>
      </c>
      <c r="AF307" s="1015">
        <f t="shared" si="257"/>
        <v>152929</v>
      </c>
      <c r="AG307" s="1015">
        <f t="shared" si="257"/>
        <v>152929</v>
      </c>
      <c r="AH307" s="1015">
        <f t="shared" si="257"/>
        <v>152929</v>
      </c>
      <c r="AI307" s="1024"/>
    </row>
    <row r="308" spans="1:35" ht="15" customHeight="1">
      <c r="A308" s="1391" t="s">
        <v>1031</v>
      </c>
      <c r="B308" s="765"/>
      <c r="C308" s="348">
        <v>914146</v>
      </c>
      <c r="D308" s="348">
        <f>ROUND(SUM(D304:D307),0)</f>
        <v>929926</v>
      </c>
      <c r="E308" s="348">
        <f>ROUND(SUM(E304:E307),0)</f>
        <v>906334</v>
      </c>
      <c r="F308" s="348">
        <f t="shared" ref="F308:I308" si="259">ROUND(SUM(F304:F307),0)</f>
        <v>652926</v>
      </c>
      <c r="G308" s="348">
        <f t="shared" si="259"/>
        <v>657902</v>
      </c>
      <c r="H308" s="348">
        <f t="shared" si="259"/>
        <v>657902</v>
      </c>
      <c r="I308" s="348">
        <f t="shared" si="259"/>
        <v>657902</v>
      </c>
      <c r="J308" s="348">
        <f t="shared" ref="J308" si="260">ROUND(SUM(J304:J307),0)</f>
        <v>657902</v>
      </c>
      <c r="K308" s="348"/>
      <c r="M308" s="403"/>
      <c r="N308" s="434"/>
      <c r="AC308" s="1010" t="str">
        <f t="shared" si="256"/>
        <v>Total Supplies Line #3.040</v>
      </c>
      <c r="AD308" s="1016">
        <f t="shared" si="257"/>
        <v>652926</v>
      </c>
      <c r="AE308" s="1016">
        <f t="shared" si="257"/>
        <v>657902</v>
      </c>
      <c r="AF308" s="1016">
        <f t="shared" si="257"/>
        <v>657902</v>
      </c>
      <c r="AG308" s="1016">
        <f t="shared" si="257"/>
        <v>657902</v>
      </c>
      <c r="AH308" s="1016">
        <f t="shared" si="257"/>
        <v>657902</v>
      </c>
      <c r="AI308" s="1024"/>
    </row>
    <row r="309" spans="1:35" ht="14.4" thickBot="1">
      <c r="A309" s="1392" t="s">
        <v>1030</v>
      </c>
      <c r="B309" s="1393"/>
      <c r="C309" s="1400">
        <v>0.13113222605667874</v>
      </c>
      <c r="D309" s="1400">
        <f t="shared" ref="D309:J309" si="261">(D308-C308)/C308</f>
        <v>1.7262012851338847E-2</v>
      </c>
      <c r="E309" s="1400">
        <f t="shared" si="261"/>
        <v>-2.5369760604607248E-2</v>
      </c>
      <c r="F309" s="1400">
        <f t="shared" si="261"/>
        <v>-0.2795967049674844</v>
      </c>
      <c r="G309" s="1400">
        <f t="shared" si="261"/>
        <v>7.6210780394715483E-3</v>
      </c>
      <c r="H309" s="1400">
        <f t="shared" si="261"/>
        <v>0</v>
      </c>
      <c r="I309" s="1400">
        <f t="shared" si="261"/>
        <v>0</v>
      </c>
      <c r="J309" s="1400">
        <f t="shared" si="261"/>
        <v>0</v>
      </c>
      <c r="K309" s="351"/>
      <c r="M309" s="434"/>
      <c r="N309" s="434"/>
      <c r="AC309" s="1010"/>
      <c r="AD309" s="1012"/>
      <c r="AE309" s="1012"/>
      <c r="AF309" s="1012"/>
      <c r="AG309" s="1012"/>
      <c r="AH309" s="1012"/>
      <c r="AI309" s="1024"/>
    </row>
    <row r="310" spans="1:35">
      <c r="A310" s="750"/>
      <c r="B310" s="750"/>
      <c r="C310" s="319"/>
      <c r="D310" s="319"/>
      <c r="E310" s="325"/>
      <c r="F310" s="319"/>
      <c r="G310" s="319"/>
      <c r="H310" s="319"/>
      <c r="I310" s="319"/>
      <c r="J310" s="319"/>
      <c r="K310" s="319"/>
      <c r="AC310" s="1010"/>
      <c r="AD310" s="1012"/>
      <c r="AE310" s="1012"/>
      <c r="AF310" s="1012"/>
      <c r="AG310" s="1012"/>
      <c r="AH310" s="1012"/>
      <c r="AI310" s="1023"/>
    </row>
    <row r="311" spans="1:35">
      <c r="A311" s="870" t="s">
        <v>403</v>
      </c>
      <c r="B311" s="440"/>
      <c r="C311" s="422"/>
      <c r="D311" s="422"/>
      <c r="E311" s="732"/>
      <c r="F311" s="589"/>
      <c r="G311" s="647"/>
      <c r="H311" s="674"/>
      <c r="I311" s="718"/>
      <c r="J311" s="732"/>
      <c r="K311" s="423"/>
      <c r="L311" s="1518"/>
      <c r="M311" s="1006"/>
      <c r="AC311" s="1010"/>
      <c r="AD311" s="1012"/>
      <c r="AE311" s="1012"/>
      <c r="AF311" s="1012"/>
      <c r="AG311" s="1012"/>
      <c r="AH311" s="1012"/>
      <c r="AI311" s="1023"/>
    </row>
    <row r="312" spans="1:35">
      <c r="A312" s="826"/>
      <c r="B312" s="827"/>
      <c r="C312" s="634"/>
      <c r="D312" s="423"/>
      <c r="E312" s="423"/>
      <c r="F312" s="425">
        <f>323735-F318</f>
        <v>0</v>
      </c>
      <c r="G312" s="423"/>
      <c r="H312" s="423"/>
      <c r="I312" s="423"/>
      <c r="J312" s="423"/>
      <c r="K312" s="423"/>
      <c r="AC312" s="1010"/>
      <c r="AD312" s="1012"/>
      <c r="AE312" s="1012"/>
      <c r="AF312" s="1012"/>
      <c r="AG312" s="1012"/>
      <c r="AH312" s="1012"/>
      <c r="AI312" s="1023"/>
    </row>
    <row r="313" spans="1:35">
      <c r="A313" s="847" t="s">
        <v>265</v>
      </c>
      <c r="B313" s="424"/>
      <c r="C313" s="908" t="s">
        <v>431</v>
      </c>
      <c r="D313" s="908" t="str">
        <f t="shared" ref="D313:I313" si="262">+D303</f>
        <v>FY20</v>
      </c>
      <c r="E313" s="908" t="str">
        <f t="shared" si="262"/>
        <v>FY21</v>
      </c>
      <c r="F313" s="908" t="str">
        <f t="shared" si="262"/>
        <v>FY22</v>
      </c>
      <c r="G313" s="908" t="str">
        <f t="shared" si="262"/>
        <v>FY23</v>
      </c>
      <c r="H313" s="908" t="str">
        <f t="shared" si="262"/>
        <v>FY24</v>
      </c>
      <c r="I313" s="908" t="str">
        <f t="shared" si="262"/>
        <v>FY25</v>
      </c>
      <c r="J313" s="908" t="str">
        <f t="shared" ref="J313" si="263">+J303</f>
        <v>FY26</v>
      </c>
      <c r="K313" s="424"/>
      <c r="M313" s="1515"/>
      <c r="AC313" s="1029" t="str">
        <f t="shared" ref="AC313:AC318" si="264">A313</f>
        <v>Source</v>
      </c>
      <c r="AD313" s="1018" t="str">
        <f t="shared" ref="AD313:AH318" si="265">F313</f>
        <v>FY22</v>
      </c>
      <c r="AE313" s="1018" t="str">
        <f t="shared" si="265"/>
        <v>FY23</v>
      </c>
      <c r="AF313" s="1018" t="str">
        <f t="shared" si="265"/>
        <v>FY24</v>
      </c>
      <c r="AG313" s="1018" t="str">
        <f t="shared" si="265"/>
        <v>FY25</v>
      </c>
      <c r="AH313" s="1018" t="str">
        <f t="shared" si="265"/>
        <v>FY26</v>
      </c>
      <c r="AI313" s="1023"/>
    </row>
    <row r="314" spans="1:35" ht="15" customHeight="1">
      <c r="A314" s="826" t="s">
        <v>967</v>
      </c>
      <c r="B314" s="828"/>
      <c r="C314" s="425">
        <v>225108</v>
      </c>
      <c r="D314" s="425">
        <v>330231</v>
      </c>
      <c r="E314" s="425">
        <f>160375+25661</f>
        <v>186036</v>
      </c>
      <c r="F314" s="360">
        <f>ROUND(E314*1.01,0)</f>
        <v>187896</v>
      </c>
      <c r="G314" s="360">
        <f t="shared" ref="G314:J314" si="266">ROUND(F314*1.01,0)</f>
        <v>189775</v>
      </c>
      <c r="H314" s="360">
        <f t="shared" si="266"/>
        <v>191673</v>
      </c>
      <c r="I314" s="360">
        <f t="shared" si="266"/>
        <v>193590</v>
      </c>
      <c r="J314" s="360">
        <f t="shared" si="266"/>
        <v>195526</v>
      </c>
      <c r="K314" s="425"/>
      <c r="M314" s="434"/>
      <c r="N314" s="434"/>
      <c r="AC314" s="1010" t="str">
        <f t="shared" si="264"/>
        <v>Equipment</v>
      </c>
      <c r="AD314" s="1012">
        <f t="shared" si="265"/>
        <v>187896</v>
      </c>
      <c r="AE314" s="1012">
        <f t="shared" si="265"/>
        <v>189775</v>
      </c>
      <c r="AF314" s="1012">
        <f t="shared" si="265"/>
        <v>191673</v>
      </c>
      <c r="AG314" s="1012">
        <f t="shared" si="265"/>
        <v>193590</v>
      </c>
      <c r="AH314" s="1012">
        <f t="shared" si="265"/>
        <v>195526</v>
      </c>
      <c r="AI314" s="1023"/>
    </row>
    <row r="315" spans="1:35" ht="15" customHeight="1">
      <c r="A315" s="826" t="s">
        <v>969</v>
      </c>
      <c r="B315" s="829"/>
      <c r="C315" s="901">
        <v>166600</v>
      </c>
      <c r="D315" s="901">
        <v>0</v>
      </c>
      <c r="E315" s="901">
        <v>0</v>
      </c>
      <c r="F315" s="367">
        <v>0</v>
      </c>
      <c r="G315" s="367">
        <v>170000</v>
      </c>
      <c r="H315" s="367">
        <f t="shared" ref="G315:J317" si="267">ROUND(G315*1,0)</f>
        <v>170000</v>
      </c>
      <c r="I315" s="367">
        <f t="shared" si="267"/>
        <v>170000</v>
      </c>
      <c r="J315" s="367">
        <f t="shared" si="267"/>
        <v>170000</v>
      </c>
      <c r="K315" s="425"/>
      <c r="L315" s="1024"/>
      <c r="M315" s="1003"/>
      <c r="N315" s="434"/>
      <c r="AC315" s="1010" t="str">
        <f t="shared" si="264"/>
        <v>Replacement Buses</v>
      </c>
      <c r="AD315" s="1014">
        <f t="shared" si="265"/>
        <v>0</v>
      </c>
      <c r="AE315" s="1014">
        <f t="shared" si="265"/>
        <v>170000</v>
      </c>
      <c r="AF315" s="1014">
        <f t="shared" si="265"/>
        <v>170000</v>
      </c>
      <c r="AG315" s="1014">
        <f t="shared" si="265"/>
        <v>170000</v>
      </c>
      <c r="AH315" s="1014">
        <f t="shared" si="265"/>
        <v>170000</v>
      </c>
      <c r="AI315" s="1023"/>
    </row>
    <row r="316" spans="1:35" ht="15" hidden="1" customHeight="1">
      <c r="A316" s="826" t="s">
        <v>997</v>
      </c>
      <c r="B316" s="828"/>
      <c r="C316" s="901">
        <v>40000</v>
      </c>
      <c r="D316" s="901">
        <v>0</v>
      </c>
      <c r="E316" s="901">
        <v>0</v>
      </c>
      <c r="F316" s="367">
        <f>ROUND(E316*1,0)</f>
        <v>0</v>
      </c>
      <c r="G316" s="367">
        <f t="shared" si="267"/>
        <v>0</v>
      </c>
      <c r="H316" s="367">
        <f t="shared" si="267"/>
        <v>0</v>
      </c>
      <c r="I316" s="367">
        <f t="shared" si="267"/>
        <v>0</v>
      </c>
      <c r="J316" s="367">
        <f t="shared" si="267"/>
        <v>0</v>
      </c>
      <c r="K316" s="425"/>
      <c r="M316" s="1003"/>
      <c r="N316" s="434"/>
      <c r="AC316" s="1010" t="str">
        <f t="shared" si="264"/>
        <v>Vocational Marketing</v>
      </c>
      <c r="AD316" s="1014">
        <f t="shared" si="265"/>
        <v>0</v>
      </c>
      <c r="AE316" s="1014">
        <f t="shared" si="265"/>
        <v>0</v>
      </c>
      <c r="AF316" s="1014">
        <f t="shared" si="265"/>
        <v>0</v>
      </c>
      <c r="AG316" s="1014">
        <f t="shared" si="265"/>
        <v>0</v>
      </c>
      <c r="AH316" s="1014">
        <f t="shared" si="265"/>
        <v>0</v>
      </c>
      <c r="AI316" s="1023"/>
    </row>
    <row r="317" spans="1:35" ht="15" customHeight="1">
      <c r="A317" s="826" t="s">
        <v>968</v>
      </c>
      <c r="B317" s="828"/>
      <c r="C317" s="923">
        <v>184100</v>
      </c>
      <c r="D317" s="923">
        <v>175051</v>
      </c>
      <c r="E317" s="923">
        <v>35192</v>
      </c>
      <c r="F317" s="1584">
        <f>20000+115839</f>
        <v>135839</v>
      </c>
      <c r="G317" s="344">
        <v>175000</v>
      </c>
      <c r="H317" s="344">
        <f t="shared" si="267"/>
        <v>175000</v>
      </c>
      <c r="I317" s="344">
        <f t="shared" si="267"/>
        <v>175000</v>
      </c>
      <c r="J317" s="344">
        <f t="shared" si="267"/>
        <v>175000</v>
      </c>
      <c r="K317" s="1534"/>
      <c r="M317" s="1563"/>
      <c r="N317" s="434"/>
      <c r="AC317" s="1010" t="str">
        <f t="shared" si="264"/>
        <v>Technical Equipment</v>
      </c>
      <c r="AD317" s="1015">
        <f t="shared" si="265"/>
        <v>135839</v>
      </c>
      <c r="AE317" s="1015">
        <f t="shared" si="265"/>
        <v>175000</v>
      </c>
      <c r="AF317" s="1015">
        <f t="shared" si="265"/>
        <v>175000</v>
      </c>
      <c r="AG317" s="1015">
        <f t="shared" si="265"/>
        <v>175000</v>
      </c>
      <c r="AH317" s="1015">
        <f t="shared" si="265"/>
        <v>175000</v>
      </c>
      <c r="AI317" s="1023"/>
    </row>
    <row r="318" spans="1:35" ht="15" customHeight="1">
      <c r="A318" s="1386" t="s">
        <v>83</v>
      </c>
      <c r="B318" s="1387"/>
      <c r="C318" s="902">
        <v>615808</v>
      </c>
      <c r="D318" s="902">
        <f t="shared" ref="D318:I318" si="268">ROUND(SUM(D314:D317),0)</f>
        <v>505282</v>
      </c>
      <c r="E318" s="902">
        <f t="shared" si="268"/>
        <v>221228</v>
      </c>
      <c r="F318" s="902">
        <f t="shared" si="268"/>
        <v>323735</v>
      </c>
      <c r="G318" s="902">
        <f t="shared" si="268"/>
        <v>534775</v>
      </c>
      <c r="H318" s="902">
        <f t="shared" si="268"/>
        <v>536673</v>
      </c>
      <c r="I318" s="902">
        <f t="shared" si="268"/>
        <v>538590</v>
      </c>
      <c r="J318" s="902">
        <f t="shared" ref="J318" si="269">ROUND(SUM(J314:J317),0)</f>
        <v>540526</v>
      </c>
      <c r="K318" s="1534"/>
      <c r="M318" s="403"/>
      <c r="N318" s="434"/>
      <c r="AC318" s="1010" t="str">
        <f t="shared" si="264"/>
        <v>Total Line 3.050</v>
      </c>
      <c r="AD318" s="1016">
        <f t="shared" si="265"/>
        <v>323735</v>
      </c>
      <c r="AE318" s="1016">
        <f t="shared" si="265"/>
        <v>534775</v>
      </c>
      <c r="AF318" s="1016">
        <f t="shared" si="265"/>
        <v>536673</v>
      </c>
      <c r="AG318" s="1016">
        <f t="shared" si="265"/>
        <v>538590</v>
      </c>
      <c r="AH318" s="1016">
        <f t="shared" si="265"/>
        <v>540526</v>
      </c>
      <c r="AI318" s="1023"/>
    </row>
    <row r="319" spans="1:35" ht="15" customHeight="1" thickBot="1">
      <c r="A319" s="1388" t="s">
        <v>1030</v>
      </c>
      <c r="B319" s="1389"/>
      <c r="C319" s="1390">
        <v>0.27067135475990028</v>
      </c>
      <c r="D319" s="1390">
        <f t="shared" ref="D319:J319" si="270">(D318-C318)/C318</f>
        <v>-0.17948126688838079</v>
      </c>
      <c r="E319" s="1390">
        <f t="shared" si="270"/>
        <v>-0.56216924410527191</v>
      </c>
      <c r="F319" s="1390">
        <f t="shared" si="270"/>
        <v>0.46335454824886541</v>
      </c>
      <c r="G319" s="1390">
        <f t="shared" si="270"/>
        <v>0.65189120731462458</v>
      </c>
      <c r="H319" s="1390">
        <f t="shared" si="270"/>
        <v>3.549156187181525E-3</v>
      </c>
      <c r="I319" s="1390">
        <f t="shared" si="270"/>
        <v>3.5720075353148006E-3</v>
      </c>
      <c r="J319" s="1390">
        <f t="shared" si="270"/>
        <v>3.5945710094877365E-3</v>
      </c>
      <c r="K319" s="1535"/>
      <c r="AC319" s="1010"/>
      <c r="AD319" s="1016"/>
      <c r="AE319" s="1016"/>
      <c r="AF319" s="1016"/>
      <c r="AG319" s="1016"/>
      <c r="AH319" s="1016"/>
      <c r="AI319" s="1023"/>
    </row>
    <row r="320" spans="1:35" ht="15.6">
      <c r="A320" s="850"/>
      <c r="B320" s="751"/>
      <c r="C320" s="329"/>
      <c r="D320" s="329"/>
      <c r="E320" s="329"/>
      <c r="F320" s="329"/>
      <c r="G320" s="329"/>
      <c r="H320" s="329"/>
      <c r="I320" s="329"/>
      <c r="J320" s="329"/>
      <c r="K320" s="329"/>
      <c r="AC320" s="1010"/>
      <c r="AD320" s="1012"/>
      <c r="AE320" s="1012"/>
      <c r="AF320" s="1012"/>
      <c r="AG320" s="1012"/>
      <c r="AH320" s="1012"/>
      <c r="AI320" s="1023"/>
    </row>
    <row r="321" spans="1:35" ht="15" customHeight="1">
      <c r="A321" s="871" t="s">
        <v>404</v>
      </c>
      <c r="B321" s="830"/>
      <c r="C321" s="426"/>
      <c r="D321" s="731"/>
      <c r="E321" s="484"/>
      <c r="F321" s="588"/>
      <c r="G321" s="646"/>
      <c r="H321" s="673"/>
      <c r="I321" s="717"/>
      <c r="J321" s="731"/>
      <c r="K321" s="427"/>
      <c r="AC321" s="1010"/>
      <c r="AD321" s="1012"/>
      <c r="AE321" s="1012"/>
      <c r="AF321" s="1012"/>
      <c r="AG321" s="1012"/>
      <c r="AH321" s="1012"/>
      <c r="AI321" s="1023"/>
    </row>
    <row r="322" spans="1:35">
      <c r="A322" s="833"/>
      <c r="B322" s="832"/>
      <c r="C322" s="427"/>
      <c r="D322" s="427"/>
      <c r="E322" s="427"/>
      <c r="F322" s="427"/>
      <c r="G322" s="427"/>
      <c r="H322" s="427"/>
      <c r="I322" s="427"/>
      <c r="J322" s="427"/>
      <c r="K322" s="427"/>
      <c r="AC322" s="1370"/>
      <c r="AD322" s="1371"/>
      <c r="AE322" s="1371"/>
      <c r="AF322" s="1371"/>
      <c r="AG322" s="1371"/>
      <c r="AH322" s="1371"/>
      <c r="AI322" s="1023"/>
    </row>
    <row r="323" spans="1:35">
      <c r="A323" s="831" t="s">
        <v>265</v>
      </c>
      <c r="B323" s="428"/>
      <c r="C323" s="912" t="s">
        <v>431</v>
      </c>
      <c r="D323" s="912" t="str">
        <f t="shared" ref="D323:I323" si="271">D26</f>
        <v>FY20</v>
      </c>
      <c r="E323" s="912" t="str">
        <f t="shared" si="271"/>
        <v>FY21</v>
      </c>
      <c r="F323" s="912" t="str">
        <f t="shared" si="271"/>
        <v>FY22</v>
      </c>
      <c r="G323" s="912" t="str">
        <f t="shared" si="271"/>
        <v>FY23</v>
      </c>
      <c r="H323" s="912" t="str">
        <f t="shared" si="271"/>
        <v>FY24</v>
      </c>
      <c r="I323" s="912" t="str">
        <f t="shared" si="271"/>
        <v>FY25</v>
      </c>
      <c r="J323" s="912" t="str">
        <f t="shared" ref="J323" si="272">J26</f>
        <v>FY26</v>
      </c>
      <c r="K323" s="428"/>
      <c r="M323" s="1515"/>
      <c r="AC323" s="1029" t="str">
        <f t="shared" ref="AC323:AC328" si="273">A323</f>
        <v>Source</v>
      </c>
      <c r="AD323" s="1018" t="str">
        <f t="shared" ref="AD323:AH328" si="274">F323</f>
        <v>FY22</v>
      </c>
      <c r="AE323" s="1018" t="str">
        <f t="shared" si="274"/>
        <v>FY23</v>
      </c>
      <c r="AF323" s="1018" t="str">
        <f t="shared" si="274"/>
        <v>FY24</v>
      </c>
      <c r="AG323" s="1018" t="str">
        <f t="shared" si="274"/>
        <v>FY25</v>
      </c>
      <c r="AH323" s="1018" t="str">
        <f t="shared" si="274"/>
        <v>FY26</v>
      </c>
      <c r="AI323" s="1023"/>
    </row>
    <row r="324" spans="1:35">
      <c r="A324" s="833" t="s">
        <v>385</v>
      </c>
      <c r="B324" s="834"/>
      <c r="C324" s="429">
        <v>0</v>
      </c>
      <c r="D324" s="429">
        <v>0</v>
      </c>
      <c r="E324" s="943">
        <v>0</v>
      </c>
      <c r="F324" s="943">
        <v>0</v>
      </c>
      <c r="G324" s="943">
        <v>0</v>
      </c>
      <c r="H324" s="943">
        <v>0</v>
      </c>
      <c r="I324" s="943">
        <v>0</v>
      </c>
      <c r="J324" s="943">
        <v>0</v>
      </c>
      <c r="K324" s="429"/>
      <c r="M324" s="434"/>
      <c r="N324" s="434"/>
      <c r="AC324" s="1010" t="str">
        <f t="shared" si="273"/>
        <v>Principal TANS Line #4.020</v>
      </c>
      <c r="AD324" s="1012">
        <f t="shared" si="274"/>
        <v>0</v>
      </c>
      <c r="AE324" s="1012">
        <f t="shared" si="274"/>
        <v>0</v>
      </c>
      <c r="AF324" s="1012">
        <f t="shared" si="274"/>
        <v>0</v>
      </c>
      <c r="AG324" s="1012">
        <f t="shared" si="274"/>
        <v>0</v>
      </c>
      <c r="AH324" s="1012">
        <f t="shared" si="274"/>
        <v>0</v>
      </c>
      <c r="AI324" s="1023"/>
    </row>
    <row r="325" spans="1:35">
      <c r="A325" s="833" t="s">
        <v>386</v>
      </c>
      <c r="B325" s="834"/>
      <c r="C325" s="430">
        <v>0</v>
      </c>
      <c r="D325" s="430">
        <v>0</v>
      </c>
      <c r="E325" s="944">
        <v>0</v>
      </c>
      <c r="F325" s="944">
        <v>0</v>
      </c>
      <c r="G325" s="944">
        <v>0</v>
      </c>
      <c r="H325" s="944">
        <v>0</v>
      </c>
      <c r="I325" s="944">
        <v>0</v>
      </c>
      <c r="J325" s="944">
        <v>0</v>
      </c>
      <c r="K325" s="429"/>
      <c r="L325" s="1514"/>
      <c r="M325" s="1003"/>
      <c r="N325" s="434"/>
      <c r="AC325" s="1010" t="str">
        <f t="shared" si="273"/>
        <v>Principal State Loans Line #4.030</v>
      </c>
      <c r="AD325" s="1014">
        <f t="shared" si="274"/>
        <v>0</v>
      </c>
      <c r="AE325" s="1014">
        <f t="shared" si="274"/>
        <v>0</v>
      </c>
      <c r="AF325" s="1014">
        <f t="shared" si="274"/>
        <v>0</v>
      </c>
      <c r="AG325" s="1014">
        <f t="shared" si="274"/>
        <v>0</v>
      </c>
      <c r="AH325" s="1014">
        <f t="shared" si="274"/>
        <v>0</v>
      </c>
      <c r="AI325" s="1023"/>
    </row>
    <row r="326" spans="1:35" ht="15.6">
      <c r="A326" s="833" t="s">
        <v>387</v>
      </c>
      <c r="B326" s="835"/>
      <c r="C326" s="431">
        <v>0</v>
      </c>
      <c r="D326" s="431">
        <v>0</v>
      </c>
      <c r="E326" s="945">
        <v>0</v>
      </c>
      <c r="F326" s="945">
        <v>0</v>
      </c>
      <c r="G326" s="945">
        <v>0</v>
      </c>
      <c r="H326" s="945">
        <v>0</v>
      </c>
      <c r="I326" s="945">
        <v>0</v>
      </c>
      <c r="J326" s="945">
        <v>0</v>
      </c>
      <c r="K326" s="1536"/>
      <c r="M326" s="1566"/>
      <c r="N326" s="434"/>
      <c r="AC326" s="1010" t="str">
        <f t="shared" si="273"/>
        <v>Principal State Advances Line #4.040</v>
      </c>
      <c r="AD326" s="1014">
        <f t="shared" si="274"/>
        <v>0</v>
      </c>
      <c r="AE326" s="1014">
        <f t="shared" si="274"/>
        <v>0</v>
      </c>
      <c r="AF326" s="1014">
        <f t="shared" si="274"/>
        <v>0</v>
      </c>
      <c r="AG326" s="1014">
        <f t="shared" si="274"/>
        <v>0</v>
      </c>
      <c r="AH326" s="1014">
        <f t="shared" si="274"/>
        <v>0</v>
      </c>
      <c r="AI326" s="1023"/>
    </row>
    <row r="327" spans="1:35" ht="15.6">
      <c r="A327" s="833" t="s">
        <v>389</v>
      </c>
      <c r="B327" s="835"/>
      <c r="C327" s="430">
        <v>0</v>
      </c>
      <c r="D327" s="430">
        <v>0</v>
      </c>
      <c r="E327" s="944">
        <v>0</v>
      </c>
      <c r="F327" s="944">
        <v>0</v>
      </c>
      <c r="G327" s="944">
        <v>0</v>
      </c>
      <c r="H327" s="944">
        <v>0</v>
      </c>
      <c r="I327" s="944">
        <v>0</v>
      </c>
      <c r="J327" s="944">
        <v>0</v>
      </c>
      <c r="K327" s="1536"/>
      <c r="M327" s="1003"/>
      <c r="N327" s="434"/>
      <c r="AC327" s="1010" t="str">
        <f t="shared" si="273"/>
        <v>Principal Emergency Levy TANS Line # 4.055</v>
      </c>
      <c r="AD327" s="1015">
        <f t="shared" si="274"/>
        <v>0</v>
      </c>
      <c r="AE327" s="1015">
        <f t="shared" si="274"/>
        <v>0</v>
      </c>
      <c r="AF327" s="1015">
        <f t="shared" si="274"/>
        <v>0</v>
      </c>
      <c r="AG327" s="1015">
        <f t="shared" si="274"/>
        <v>0</v>
      </c>
      <c r="AH327" s="1015">
        <f t="shared" si="274"/>
        <v>0</v>
      </c>
      <c r="AI327" s="1023"/>
    </row>
    <row r="328" spans="1:35" ht="15.6">
      <c r="A328" s="831" t="s">
        <v>390</v>
      </c>
      <c r="B328" s="836"/>
      <c r="C328" s="432">
        <v>0</v>
      </c>
      <c r="D328" s="432">
        <f t="shared" ref="D328:G328" si="275">SUM(D324:D327)</f>
        <v>0</v>
      </c>
      <c r="E328" s="432">
        <f t="shared" si="275"/>
        <v>0</v>
      </c>
      <c r="F328" s="432">
        <f t="shared" si="275"/>
        <v>0</v>
      </c>
      <c r="G328" s="432">
        <f t="shared" si="275"/>
        <v>0</v>
      </c>
      <c r="H328" s="432">
        <f t="shared" ref="H328:I328" si="276">SUM(H324:H327)</f>
        <v>0</v>
      </c>
      <c r="I328" s="432">
        <f t="shared" si="276"/>
        <v>0</v>
      </c>
      <c r="J328" s="432">
        <f t="shared" ref="J328" si="277">SUM(J324:J327)</f>
        <v>0</v>
      </c>
      <c r="K328" s="1537"/>
      <c r="M328" s="403"/>
      <c r="N328" s="434"/>
      <c r="AC328" s="1010" t="str">
        <f t="shared" si="273"/>
        <v>Total Principal Payments</v>
      </c>
      <c r="AD328" s="1016">
        <f t="shared" si="274"/>
        <v>0</v>
      </c>
      <c r="AE328" s="1016">
        <f t="shared" si="274"/>
        <v>0</v>
      </c>
      <c r="AF328" s="1016">
        <f t="shared" si="274"/>
        <v>0</v>
      </c>
      <c r="AG328" s="1016">
        <f t="shared" si="274"/>
        <v>0</v>
      </c>
      <c r="AH328" s="1016">
        <f t="shared" si="274"/>
        <v>0</v>
      </c>
      <c r="AI328" s="1023"/>
    </row>
    <row r="329" spans="1:35">
      <c r="A329" s="833"/>
      <c r="B329" s="832"/>
      <c r="C329" s="427"/>
      <c r="D329" s="427"/>
      <c r="E329" s="946"/>
      <c r="F329" s="946"/>
      <c r="G329" s="946"/>
      <c r="H329" s="946"/>
      <c r="I329" s="946"/>
      <c r="J329" s="946"/>
      <c r="K329" s="427"/>
      <c r="L329" s="434"/>
      <c r="AC329" s="1010"/>
      <c r="AD329" s="1012"/>
      <c r="AE329" s="1012"/>
      <c r="AF329" s="1012"/>
      <c r="AG329" s="1012"/>
      <c r="AH329" s="1012"/>
      <c r="AI329" s="1023"/>
    </row>
    <row r="330" spans="1:35">
      <c r="A330" s="831" t="s">
        <v>253</v>
      </c>
      <c r="B330" s="832"/>
      <c r="C330" s="427"/>
      <c r="D330" s="427"/>
      <c r="E330" s="946"/>
      <c r="F330" s="946"/>
      <c r="G330" s="946"/>
      <c r="H330" s="946"/>
      <c r="I330" s="946"/>
      <c r="J330" s="946"/>
      <c r="K330" s="427"/>
      <c r="AC330" s="1010"/>
      <c r="AD330" s="1012"/>
      <c r="AE330" s="1012"/>
      <c r="AF330" s="1012"/>
      <c r="AG330" s="1012"/>
      <c r="AH330" s="1012"/>
      <c r="AI330" s="1023"/>
    </row>
    <row r="331" spans="1:35">
      <c r="A331" s="833" t="s">
        <v>838</v>
      </c>
      <c r="B331" s="832"/>
      <c r="C331" s="427"/>
      <c r="D331" s="427"/>
      <c r="E331" s="946"/>
      <c r="F331" s="946"/>
      <c r="G331" s="946"/>
      <c r="H331" s="946"/>
      <c r="I331" s="946"/>
      <c r="J331" s="946"/>
      <c r="K331" s="427"/>
      <c r="AC331" s="1010"/>
      <c r="AD331" s="1012"/>
      <c r="AE331" s="1012"/>
      <c r="AF331" s="1012"/>
      <c r="AG331" s="1012"/>
      <c r="AH331" s="1012"/>
      <c r="AI331" s="1023"/>
    </row>
    <row r="332" spans="1:35">
      <c r="A332" s="833" t="s">
        <v>82</v>
      </c>
      <c r="B332" s="832"/>
      <c r="C332" s="427"/>
      <c r="D332" s="427"/>
      <c r="E332" s="946"/>
      <c r="F332" s="946"/>
      <c r="G332" s="946"/>
      <c r="H332" s="946"/>
      <c r="I332" s="946"/>
      <c r="J332" s="946"/>
      <c r="K332" s="427"/>
      <c r="AC332" s="1010"/>
      <c r="AD332" s="1012"/>
      <c r="AE332" s="1012"/>
      <c r="AF332" s="1012"/>
      <c r="AG332" s="1012"/>
      <c r="AH332" s="1012"/>
      <c r="AI332" s="1023"/>
    </row>
    <row r="333" spans="1:35">
      <c r="A333" s="833"/>
      <c r="B333" s="832"/>
      <c r="C333" s="427"/>
      <c r="D333" s="427"/>
      <c r="E333" s="946"/>
      <c r="F333" s="946"/>
      <c r="G333" s="946"/>
      <c r="H333" s="946"/>
      <c r="I333" s="946"/>
      <c r="J333" s="946"/>
      <c r="K333" s="427"/>
      <c r="AC333" s="1370"/>
      <c r="AD333" s="1371"/>
      <c r="AE333" s="1371"/>
      <c r="AF333" s="1371"/>
      <c r="AG333" s="1371"/>
      <c r="AH333" s="1371"/>
      <c r="AI333" s="1023"/>
    </row>
    <row r="334" spans="1:35">
      <c r="A334" s="831" t="s">
        <v>265</v>
      </c>
      <c r="B334" s="428"/>
      <c r="C334" s="912" t="s">
        <v>431</v>
      </c>
      <c r="D334" s="912" t="str">
        <f t="shared" ref="D334:G334" si="278">+D323</f>
        <v>FY20</v>
      </c>
      <c r="E334" s="947" t="str">
        <f t="shared" si="278"/>
        <v>FY21</v>
      </c>
      <c r="F334" s="947" t="str">
        <f t="shared" si="278"/>
        <v>FY22</v>
      </c>
      <c r="G334" s="947" t="str">
        <f t="shared" si="278"/>
        <v>FY23</v>
      </c>
      <c r="H334" s="947" t="str">
        <f t="shared" ref="H334:I334" si="279">+H323</f>
        <v>FY24</v>
      </c>
      <c r="I334" s="947" t="str">
        <f t="shared" si="279"/>
        <v>FY25</v>
      </c>
      <c r="J334" s="947" t="str">
        <f t="shared" ref="J334" si="280">+J323</f>
        <v>FY26</v>
      </c>
      <c r="K334" s="428"/>
      <c r="M334" s="1515"/>
      <c r="AC334" s="1029" t="str">
        <f>A334</f>
        <v>Source</v>
      </c>
      <c r="AD334" s="1018" t="str">
        <f t="shared" ref="AD334:AH335" si="281">F334</f>
        <v>FY22</v>
      </c>
      <c r="AE334" s="1018" t="str">
        <f t="shared" si="281"/>
        <v>FY23</v>
      </c>
      <c r="AF334" s="1018" t="str">
        <f t="shared" si="281"/>
        <v>FY24</v>
      </c>
      <c r="AG334" s="1018" t="str">
        <f t="shared" si="281"/>
        <v>FY25</v>
      </c>
      <c r="AH334" s="1018" t="str">
        <f t="shared" si="281"/>
        <v>FY26</v>
      </c>
      <c r="AI334" s="1023"/>
    </row>
    <row r="335" spans="1:35">
      <c r="A335" s="833" t="s">
        <v>388</v>
      </c>
      <c r="B335" s="834"/>
      <c r="C335" s="429">
        <v>0</v>
      </c>
      <c r="D335" s="429">
        <v>0</v>
      </c>
      <c r="E335" s="943">
        <v>0</v>
      </c>
      <c r="F335" s="943">
        <v>0</v>
      </c>
      <c r="G335" s="943">
        <v>0</v>
      </c>
      <c r="H335" s="943">
        <v>0</v>
      </c>
      <c r="I335" s="943">
        <v>0</v>
      </c>
      <c r="J335" s="943">
        <v>0</v>
      </c>
      <c r="K335" s="429"/>
      <c r="M335" s="434"/>
      <c r="N335" s="434"/>
      <c r="AC335" s="1010" t="str">
        <f>A335</f>
        <v>HB 264 Principal  Line # 4.050</v>
      </c>
      <c r="AD335" s="1016">
        <f t="shared" si="281"/>
        <v>0</v>
      </c>
      <c r="AE335" s="1016">
        <f t="shared" si="281"/>
        <v>0</v>
      </c>
      <c r="AF335" s="1016">
        <f t="shared" si="281"/>
        <v>0</v>
      </c>
      <c r="AG335" s="1016">
        <f t="shared" si="281"/>
        <v>0</v>
      </c>
      <c r="AH335" s="1016">
        <f t="shared" si="281"/>
        <v>0</v>
      </c>
      <c r="AI335" s="1023"/>
    </row>
    <row r="336" spans="1:35" ht="15.6">
      <c r="A336" s="833"/>
      <c r="B336" s="832"/>
      <c r="C336" s="427"/>
      <c r="D336" s="427"/>
      <c r="E336" s="946"/>
      <c r="F336" s="946"/>
      <c r="G336" s="946"/>
      <c r="H336" s="946"/>
      <c r="I336" s="946"/>
      <c r="J336" s="946"/>
      <c r="K336" s="427"/>
      <c r="L336" s="403"/>
      <c r="AC336" s="1010"/>
      <c r="AD336" s="1012"/>
      <c r="AE336" s="1012"/>
      <c r="AF336" s="1012"/>
      <c r="AG336" s="1012"/>
      <c r="AH336" s="1012"/>
      <c r="AI336" s="1023"/>
    </row>
    <row r="337" spans="1:35">
      <c r="A337" s="831" t="s">
        <v>254</v>
      </c>
      <c r="B337" s="832"/>
      <c r="C337" s="427"/>
      <c r="D337" s="427"/>
      <c r="E337" s="946"/>
      <c r="F337" s="946"/>
      <c r="G337" s="946"/>
      <c r="H337" s="946"/>
      <c r="I337" s="946"/>
      <c r="J337" s="946"/>
      <c r="K337" s="427"/>
      <c r="L337" s="1514"/>
      <c r="AC337" s="1010"/>
      <c r="AD337" s="1012"/>
      <c r="AE337" s="1012"/>
      <c r="AF337" s="1012"/>
      <c r="AG337" s="1012"/>
      <c r="AH337" s="1012"/>
      <c r="AI337" s="1023"/>
    </row>
    <row r="338" spans="1:35">
      <c r="A338" s="833"/>
      <c r="B338" s="832"/>
      <c r="C338" s="427"/>
      <c r="D338" s="427"/>
      <c r="E338" s="946"/>
      <c r="F338" s="946"/>
      <c r="G338" s="946"/>
      <c r="H338" s="946"/>
      <c r="I338" s="946"/>
      <c r="J338" s="946"/>
      <c r="K338" s="427"/>
      <c r="AC338" s="1370"/>
      <c r="AD338" s="1371"/>
      <c r="AE338" s="1371"/>
      <c r="AF338" s="1371"/>
      <c r="AG338" s="1371"/>
      <c r="AH338" s="1371"/>
      <c r="AI338" s="1023"/>
    </row>
    <row r="339" spans="1:35">
      <c r="A339" s="831" t="s">
        <v>265</v>
      </c>
      <c r="B339" s="428"/>
      <c r="C339" s="912" t="s">
        <v>431</v>
      </c>
      <c r="D339" s="912" t="str">
        <f t="shared" ref="D339:G339" si="282">+D334</f>
        <v>FY20</v>
      </c>
      <c r="E339" s="947" t="str">
        <f t="shared" si="282"/>
        <v>FY21</v>
      </c>
      <c r="F339" s="947" t="str">
        <f t="shared" si="282"/>
        <v>FY22</v>
      </c>
      <c r="G339" s="947" t="str">
        <f t="shared" si="282"/>
        <v>FY23</v>
      </c>
      <c r="H339" s="947" t="str">
        <f t="shared" ref="H339:I339" si="283">+H334</f>
        <v>FY24</v>
      </c>
      <c r="I339" s="947" t="str">
        <f t="shared" si="283"/>
        <v>FY25</v>
      </c>
      <c r="J339" s="947" t="str">
        <f t="shared" ref="J339" si="284">+J334</f>
        <v>FY26</v>
      </c>
      <c r="K339" s="428"/>
      <c r="M339" s="1515"/>
      <c r="AC339" s="1029" t="str">
        <f>A339</f>
        <v>Source</v>
      </c>
      <c r="AD339" s="1018" t="str">
        <f t="shared" ref="AD339:AH340" si="285">F339</f>
        <v>FY22</v>
      </c>
      <c r="AE339" s="1018" t="str">
        <f t="shared" si="285"/>
        <v>FY23</v>
      </c>
      <c r="AF339" s="1018" t="str">
        <f t="shared" si="285"/>
        <v>FY24</v>
      </c>
      <c r="AG339" s="1018" t="str">
        <f t="shared" si="285"/>
        <v>FY25</v>
      </c>
      <c r="AH339" s="1018" t="str">
        <f t="shared" si="285"/>
        <v>FY26</v>
      </c>
      <c r="AI339" s="1023"/>
    </row>
    <row r="340" spans="1:35" ht="14.4" thickBot="1">
      <c r="A340" s="837" t="s">
        <v>415</v>
      </c>
      <c r="B340" s="838"/>
      <c r="C340" s="433">
        <v>0</v>
      </c>
      <c r="D340" s="433">
        <v>0</v>
      </c>
      <c r="E340" s="948">
        <v>0</v>
      </c>
      <c r="F340" s="948">
        <v>0</v>
      </c>
      <c r="G340" s="948">
        <v>0</v>
      </c>
      <c r="H340" s="948">
        <v>0</v>
      </c>
      <c r="I340" s="948">
        <v>0</v>
      </c>
      <c r="J340" s="948">
        <v>0</v>
      </c>
      <c r="K340" s="433"/>
      <c r="M340" s="434"/>
      <c r="N340" s="434"/>
      <c r="AC340" s="1010" t="str">
        <f>A340</f>
        <v>Interest on TANS &amp; HB 264  Total Line 4.060</v>
      </c>
      <c r="AD340" s="1016">
        <f t="shared" si="285"/>
        <v>0</v>
      </c>
      <c r="AE340" s="1016">
        <f t="shared" si="285"/>
        <v>0</v>
      </c>
      <c r="AF340" s="1016">
        <f t="shared" si="285"/>
        <v>0</v>
      </c>
      <c r="AG340" s="1016">
        <f t="shared" si="285"/>
        <v>0</v>
      </c>
      <c r="AH340" s="1016">
        <f t="shared" si="285"/>
        <v>0</v>
      </c>
      <c r="AI340" s="1023"/>
    </row>
    <row r="341" spans="1:35">
      <c r="A341" s="759"/>
      <c r="B341" s="839"/>
      <c r="C341" s="434"/>
      <c r="D341" s="434"/>
      <c r="E341" s="434"/>
      <c r="F341" s="434"/>
      <c r="G341" s="434"/>
      <c r="H341" s="434"/>
      <c r="I341" s="434"/>
      <c r="J341" s="434"/>
      <c r="K341" s="434"/>
      <c r="AC341" s="1010"/>
      <c r="AD341" s="1012"/>
      <c r="AE341" s="1012"/>
      <c r="AF341" s="1012"/>
      <c r="AG341" s="1012"/>
      <c r="AH341" s="1012"/>
      <c r="AI341" s="1023"/>
    </row>
    <row r="342" spans="1:35" ht="15" customHeight="1">
      <c r="A342" s="872" t="s">
        <v>405</v>
      </c>
      <c r="B342" s="840"/>
      <c r="C342" s="435"/>
      <c r="D342" s="435"/>
      <c r="E342" s="488"/>
      <c r="F342" s="592"/>
      <c r="G342" s="650"/>
      <c r="H342" s="677"/>
      <c r="I342" s="721"/>
      <c r="J342" s="721"/>
      <c r="K342" s="437"/>
      <c r="AC342" s="1010"/>
      <c r="AD342" s="1012"/>
      <c r="AE342" s="1012"/>
      <c r="AF342" s="1012"/>
      <c r="AG342" s="1012"/>
      <c r="AH342" s="1012"/>
      <c r="AI342" s="1023"/>
    </row>
    <row r="343" spans="1:35" s="319" customFormat="1" ht="25.5" customHeight="1">
      <c r="A343" s="841"/>
      <c r="B343" s="842"/>
      <c r="C343" s="437"/>
      <c r="D343" s="437"/>
      <c r="E343" s="437"/>
      <c r="F343" s="437"/>
      <c r="G343" s="437"/>
      <c r="H343" s="437"/>
      <c r="I343" s="437"/>
      <c r="J343" s="437"/>
      <c r="K343" s="437"/>
      <c r="L343" s="352"/>
      <c r="M343" s="352"/>
      <c r="N343" s="352"/>
      <c r="O343" s="352"/>
      <c r="P343" s="352"/>
      <c r="Q343" s="352"/>
      <c r="R343" s="352"/>
      <c r="S343" s="352"/>
      <c r="T343" s="352"/>
      <c r="U343" s="352"/>
      <c r="V343" s="352"/>
      <c r="W343" s="352"/>
      <c r="AC343" s="1010"/>
      <c r="AD343" s="1012"/>
      <c r="AE343" s="1012"/>
      <c r="AF343" s="1012"/>
      <c r="AG343" s="1012"/>
      <c r="AH343" s="1012"/>
      <c r="AI343" s="1023"/>
    </row>
    <row r="344" spans="1:35" s="319" customFormat="1" ht="25.5" customHeight="1">
      <c r="A344" s="841" t="s">
        <v>290</v>
      </c>
      <c r="B344" s="842"/>
      <c r="C344" s="436"/>
      <c r="D344" s="436"/>
      <c r="E344" s="436"/>
      <c r="F344" s="436"/>
      <c r="G344" s="436"/>
      <c r="H344" s="436"/>
      <c r="I344" s="436"/>
      <c r="J344" s="436"/>
      <c r="K344" s="437"/>
      <c r="L344" s="352"/>
      <c r="M344" s="352"/>
      <c r="N344" s="352"/>
      <c r="O344" s="352"/>
      <c r="P344" s="352"/>
      <c r="Q344" s="352"/>
      <c r="R344" s="352"/>
      <c r="S344" s="352"/>
      <c r="T344" s="352"/>
      <c r="U344" s="352"/>
      <c r="V344" s="352"/>
      <c r="W344" s="352"/>
      <c r="AC344" s="1010"/>
      <c r="AD344" s="1012"/>
      <c r="AE344" s="1012"/>
      <c r="AF344" s="1012"/>
      <c r="AG344" s="1012"/>
      <c r="AH344" s="1012"/>
      <c r="AI344" s="1023"/>
    </row>
    <row r="345" spans="1:35" s="319" customFormat="1">
      <c r="A345" s="841" t="s">
        <v>198</v>
      </c>
      <c r="B345" s="842"/>
      <c r="C345" s="436"/>
      <c r="D345" s="436"/>
      <c r="E345" s="436"/>
      <c r="F345" s="436"/>
      <c r="G345" s="436"/>
      <c r="H345" s="436"/>
      <c r="I345" s="436"/>
      <c r="J345" s="436"/>
      <c r="K345" s="437"/>
      <c r="L345" s="352"/>
      <c r="M345" s="352"/>
      <c r="N345" s="352"/>
      <c r="O345" s="352"/>
      <c r="P345" s="352"/>
      <c r="Q345" s="352"/>
      <c r="R345" s="352"/>
      <c r="S345" s="352"/>
      <c r="T345" s="352"/>
      <c r="U345" s="352"/>
      <c r="V345" s="352"/>
      <c r="W345" s="352"/>
      <c r="AC345" s="1010"/>
      <c r="AD345" s="1012"/>
      <c r="AE345" s="1012"/>
      <c r="AF345" s="1012"/>
      <c r="AG345" s="1012"/>
      <c r="AH345" s="1012"/>
      <c r="AI345" s="1023"/>
    </row>
    <row r="346" spans="1:35">
      <c r="A346" s="841" t="s">
        <v>240</v>
      </c>
      <c r="B346" s="842"/>
      <c r="C346" s="436"/>
      <c r="D346" s="436"/>
      <c r="E346" s="436"/>
      <c r="F346" s="436"/>
      <c r="G346" s="436"/>
      <c r="H346" s="436"/>
      <c r="I346" s="436"/>
      <c r="J346" s="436"/>
      <c r="K346" s="437"/>
      <c r="AC346" s="1010"/>
      <c r="AD346" s="1012"/>
      <c r="AE346" s="1012"/>
      <c r="AF346" s="1012"/>
      <c r="AG346" s="1012"/>
      <c r="AH346" s="1012"/>
      <c r="AI346" s="1024"/>
    </row>
    <row r="347" spans="1:35">
      <c r="A347" s="841" t="s">
        <v>252</v>
      </c>
      <c r="B347" s="842"/>
      <c r="C347" s="436"/>
      <c r="D347" s="436"/>
      <c r="E347" s="436"/>
      <c r="F347" s="436"/>
      <c r="G347" s="436"/>
      <c r="H347" s="436"/>
      <c r="I347" s="436"/>
      <c r="J347" s="436"/>
      <c r="K347" s="437"/>
      <c r="AC347" s="1010"/>
      <c r="AD347" s="1012"/>
      <c r="AE347" s="1012"/>
      <c r="AF347" s="1012"/>
      <c r="AG347" s="1012"/>
      <c r="AH347" s="1012"/>
      <c r="AI347" s="1024"/>
    </row>
    <row r="348" spans="1:35">
      <c r="A348" s="841" t="s">
        <v>36</v>
      </c>
      <c r="B348" s="842"/>
      <c r="C348" s="436"/>
      <c r="D348" s="436"/>
      <c r="E348" s="436"/>
      <c r="F348" s="436"/>
      <c r="G348" s="436"/>
      <c r="H348" s="436"/>
      <c r="I348" s="436"/>
      <c r="J348" s="436"/>
      <c r="K348" s="437"/>
      <c r="AC348" s="1010"/>
      <c r="AD348" s="1012"/>
      <c r="AE348" s="1012"/>
      <c r="AF348" s="1012"/>
      <c r="AG348" s="1012"/>
      <c r="AH348" s="1012"/>
      <c r="AI348" s="1024"/>
    </row>
    <row r="349" spans="1:35">
      <c r="A349" s="841"/>
      <c r="B349" s="842"/>
      <c r="C349" s="939"/>
      <c r="D349" s="939"/>
      <c r="E349" s="939"/>
      <c r="F349" s="1585">
        <f>411504-F355</f>
        <v>0</v>
      </c>
      <c r="G349" s="436"/>
      <c r="H349" s="436"/>
      <c r="I349" s="436"/>
      <c r="J349" s="436"/>
      <c r="K349" s="437"/>
      <c r="AC349" s="1370"/>
      <c r="AD349" s="1371"/>
      <c r="AE349" s="1371"/>
      <c r="AF349" s="1371"/>
      <c r="AG349" s="1371"/>
      <c r="AH349" s="1371"/>
      <c r="AI349" s="1023"/>
    </row>
    <row r="350" spans="1:35">
      <c r="A350" s="873" t="s">
        <v>265</v>
      </c>
      <c r="B350" s="438"/>
      <c r="C350" s="911" t="s">
        <v>431</v>
      </c>
      <c r="D350" s="911" t="str">
        <f t="shared" ref="D350:I350" si="286">+D313</f>
        <v>FY20</v>
      </c>
      <c r="E350" s="911" t="str">
        <f t="shared" si="286"/>
        <v>FY21</v>
      </c>
      <c r="F350" s="911" t="str">
        <f t="shared" si="286"/>
        <v>FY22</v>
      </c>
      <c r="G350" s="911" t="str">
        <f t="shared" si="286"/>
        <v>FY23</v>
      </c>
      <c r="H350" s="911" t="str">
        <f t="shared" si="286"/>
        <v>FY24</v>
      </c>
      <c r="I350" s="911" t="str">
        <f t="shared" si="286"/>
        <v>FY25</v>
      </c>
      <c r="J350" s="911" t="str">
        <f t="shared" ref="J350" si="287">+J313</f>
        <v>FY26</v>
      </c>
      <c r="K350" s="1538"/>
      <c r="M350" s="1515"/>
      <c r="AC350" s="1029" t="str">
        <f t="shared" ref="AC350:AC355" si="288">A350</f>
        <v>Source</v>
      </c>
      <c r="AD350" s="1018" t="str">
        <f t="shared" ref="AD350:AH355" si="289">F350</f>
        <v>FY22</v>
      </c>
      <c r="AE350" s="1018" t="str">
        <f t="shared" si="289"/>
        <v>FY23</v>
      </c>
      <c r="AF350" s="1018" t="str">
        <f t="shared" si="289"/>
        <v>FY24</v>
      </c>
      <c r="AG350" s="1018" t="str">
        <f t="shared" si="289"/>
        <v>FY25</v>
      </c>
      <c r="AH350" s="1018" t="str">
        <f t="shared" si="289"/>
        <v>FY26</v>
      </c>
      <c r="AI350" s="1023"/>
    </row>
    <row r="351" spans="1:35" ht="15" customHeight="1">
      <c r="A351" s="843" t="s">
        <v>925</v>
      </c>
      <c r="B351" s="438"/>
      <c r="C351" s="933">
        <v>230938.49000000002</v>
      </c>
      <c r="D351" s="933">
        <v>237858</v>
      </c>
      <c r="E351" s="933">
        <v>235035</v>
      </c>
      <c r="F351" s="342">
        <f t="shared" ref="F351:J351" si="290">ROUND(E351*1.01,0)</f>
        <v>237385</v>
      </c>
      <c r="G351" s="342">
        <f t="shared" si="290"/>
        <v>239759</v>
      </c>
      <c r="H351" s="342">
        <f t="shared" si="290"/>
        <v>242157</v>
      </c>
      <c r="I351" s="342">
        <f t="shared" si="290"/>
        <v>244579</v>
      </c>
      <c r="J351" s="342">
        <f t="shared" si="290"/>
        <v>247025</v>
      </c>
      <c r="K351" s="1539"/>
      <c r="M351" s="1558"/>
      <c r="N351" s="434"/>
      <c r="AC351" s="1010" t="str">
        <f t="shared" si="288"/>
        <v>County Auditor &amp; Treasurer Fees</v>
      </c>
      <c r="AD351" s="1012">
        <f t="shared" si="289"/>
        <v>237385</v>
      </c>
      <c r="AE351" s="1012">
        <f t="shared" si="289"/>
        <v>239759</v>
      </c>
      <c r="AF351" s="1012">
        <f t="shared" si="289"/>
        <v>242157</v>
      </c>
      <c r="AG351" s="1012">
        <f t="shared" si="289"/>
        <v>244579</v>
      </c>
      <c r="AH351" s="1012">
        <f t="shared" si="289"/>
        <v>247025</v>
      </c>
      <c r="AI351" s="1023"/>
    </row>
    <row r="352" spans="1:35" ht="15" customHeight="1">
      <c r="A352" s="841" t="s">
        <v>970</v>
      </c>
      <c r="B352" s="844"/>
      <c r="C352" s="938">
        <v>57906</v>
      </c>
      <c r="D352" s="938">
        <v>70262</v>
      </c>
      <c r="E352" s="938">
        <v>63461</v>
      </c>
      <c r="F352" s="937">
        <f t="shared" ref="F352:J352" si="291">ROUND(E352*1.01,0)</f>
        <v>64096</v>
      </c>
      <c r="G352" s="937">
        <f t="shared" si="291"/>
        <v>64737</v>
      </c>
      <c r="H352" s="937">
        <f t="shared" si="291"/>
        <v>65384</v>
      </c>
      <c r="I352" s="937">
        <f t="shared" si="291"/>
        <v>66038</v>
      </c>
      <c r="J352" s="937">
        <f t="shared" si="291"/>
        <v>66698</v>
      </c>
      <c r="K352" s="1539"/>
      <c r="M352" s="1559"/>
      <c r="N352" s="434"/>
      <c r="AC352" s="1010" t="str">
        <f t="shared" si="288"/>
        <v>Software and Subscriptions</v>
      </c>
      <c r="AD352" s="1014">
        <f t="shared" si="289"/>
        <v>64096</v>
      </c>
      <c r="AE352" s="1014">
        <f t="shared" si="289"/>
        <v>64737</v>
      </c>
      <c r="AF352" s="1014">
        <f t="shared" si="289"/>
        <v>65384</v>
      </c>
      <c r="AG352" s="1014">
        <f t="shared" si="289"/>
        <v>66038</v>
      </c>
      <c r="AH352" s="1014">
        <f t="shared" si="289"/>
        <v>66698</v>
      </c>
      <c r="AI352" s="1023"/>
    </row>
    <row r="353" spans="1:35" ht="15" customHeight="1">
      <c r="A353" s="841" t="s">
        <v>301</v>
      </c>
      <c r="B353" s="438"/>
      <c r="C353" s="936">
        <v>39921</v>
      </c>
      <c r="D353" s="936">
        <v>57379</v>
      </c>
      <c r="E353" s="936">
        <f>+E355-E354-E352-E351</f>
        <v>46215</v>
      </c>
      <c r="F353" s="1586">
        <f>ROUND(E353*1.01,0)+43275</f>
        <v>89952</v>
      </c>
      <c r="G353" s="937">
        <f t="shared" ref="G353:J353" si="292">ROUND(F353*1.01,0)</f>
        <v>90852</v>
      </c>
      <c r="H353" s="937">
        <f t="shared" si="292"/>
        <v>91761</v>
      </c>
      <c r="I353" s="937">
        <f t="shared" si="292"/>
        <v>92679</v>
      </c>
      <c r="J353" s="937">
        <f t="shared" si="292"/>
        <v>93606</v>
      </c>
      <c r="K353" s="1539"/>
      <c r="M353" s="1559"/>
      <c r="N353" s="434"/>
      <c r="AC353" s="1010" t="str">
        <f t="shared" si="288"/>
        <v>Other expenses</v>
      </c>
      <c r="AD353" s="1014">
        <f t="shared" si="289"/>
        <v>89952</v>
      </c>
      <c r="AE353" s="1014">
        <f t="shared" si="289"/>
        <v>90852</v>
      </c>
      <c r="AF353" s="1014">
        <f t="shared" si="289"/>
        <v>91761</v>
      </c>
      <c r="AG353" s="1014">
        <f t="shared" si="289"/>
        <v>92679</v>
      </c>
      <c r="AH353" s="1014">
        <f t="shared" si="289"/>
        <v>93606</v>
      </c>
      <c r="AI353" s="1023"/>
    </row>
    <row r="354" spans="1:35" ht="15" customHeight="1">
      <c r="A354" s="841" t="s">
        <v>971</v>
      </c>
      <c r="B354" s="845"/>
      <c r="C354" s="934">
        <v>19926</v>
      </c>
      <c r="D354" s="934">
        <v>19926</v>
      </c>
      <c r="E354" s="934">
        <v>19872</v>
      </c>
      <c r="F354" s="935">
        <f t="shared" ref="F354:J354" si="293">ROUND(E354*1.01,0)</f>
        <v>20071</v>
      </c>
      <c r="G354" s="935">
        <f t="shared" si="293"/>
        <v>20272</v>
      </c>
      <c r="H354" s="935">
        <f t="shared" si="293"/>
        <v>20475</v>
      </c>
      <c r="I354" s="935">
        <f t="shared" si="293"/>
        <v>20680</v>
      </c>
      <c r="J354" s="935">
        <f t="shared" si="293"/>
        <v>20887</v>
      </c>
      <c r="K354" s="1540"/>
      <c r="M354" s="1575"/>
      <c r="N354" s="434"/>
      <c r="AC354" s="1010" t="str">
        <f t="shared" si="288"/>
        <v>Annual Audit</v>
      </c>
      <c r="AD354" s="1015">
        <f t="shared" si="289"/>
        <v>20071</v>
      </c>
      <c r="AE354" s="1015">
        <f t="shared" si="289"/>
        <v>20272</v>
      </c>
      <c r="AF354" s="1015">
        <f t="shared" si="289"/>
        <v>20475</v>
      </c>
      <c r="AG354" s="1015">
        <f t="shared" si="289"/>
        <v>20680</v>
      </c>
      <c r="AH354" s="1015">
        <f t="shared" si="289"/>
        <v>20887</v>
      </c>
      <c r="AI354" s="1023"/>
    </row>
    <row r="355" spans="1:35" ht="15" customHeight="1">
      <c r="A355" s="1382" t="s">
        <v>1029</v>
      </c>
      <c r="B355" s="1380"/>
      <c r="C355" s="1381">
        <v>348691</v>
      </c>
      <c r="D355" s="1381">
        <f t="shared" ref="D355:I355" si="294">ROUND(SUM(D351:D354),0)</f>
        <v>385425</v>
      </c>
      <c r="E355" s="1381">
        <v>364583</v>
      </c>
      <c r="F355" s="1381">
        <f t="shared" si="294"/>
        <v>411504</v>
      </c>
      <c r="G355" s="1381">
        <f t="shared" si="294"/>
        <v>415620</v>
      </c>
      <c r="H355" s="1381">
        <f t="shared" si="294"/>
        <v>419777</v>
      </c>
      <c r="I355" s="1381">
        <f t="shared" si="294"/>
        <v>423976</v>
      </c>
      <c r="J355" s="1381">
        <f t="shared" ref="J355" si="295">ROUND(SUM(J351:J354),0)</f>
        <v>428216</v>
      </c>
      <c r="K355" s="1539"/>
      <c r="M355" s="1562"/>
      <c r="N355" s="434"/>
      <c r="AC355" s="1010" t="str">
        <f t="shared" si="288"/>
        <v>Total Other Expenses Line #4.300</v>
      </c>
      <c r="AD355" s="1016">
        <f t="shared" si="289"/>
        <v>411504</v>
      </c>
      <c r="AE355" s="1016">
        <f t="shared" si="289"/>
        <v>415620</v>
      </c>
      <c r="AF355" s="1016">
        <f t="shared" si="289"/>
        <v>419777</v>
      </c>
      <c r="AG355" s="1016">
        <f t="shared" si="289"/>
        <v>423976</v>
      </c>
      <c r="AH355" s="1016">
        <f t="shared" si="289"/>
        <v>428216</v>
      </c>
      <c r="AI355" s="1023"/>
    </row>
    <row r="356" spans="1:35" ht="15" customHeight="1" thickBot="1">
      <c r="A356" s="1383" t="s">
        <v>1030</v>
      </c>
      <c r="B356" s="1384"/>
      <c r="C356" s="1385">
        <v>-9.9620162625138467E-2</v>
      </c>
      <c r="D356" s="1385">
        <f t="shared" ref="D356:J356" si="296">(D355-C355)/C355</f>
        <v>0.10534828831257474</v>
      </c>
      <c r="E356" s="1385">
        <f t="shared" si="296"/>
        <v>-5.4075371343322305E-2</v>
      </c>
      <c r="F356" s="1385">
        <f t="shared" si="296"/>
        <v>0.12869771766648472</v>
      </c>
      <c r="G356" s="1385">
        <f t="shared" si="296"/>
        <v>1.0002332905633966E-2</v>
      </c>
      <c r="H356" s="1385">
        <f t="shared" si="296"/>
        <v>1.0001924835185987E-2</v>
      </c>
      <c r="I356" s="1385">
        <f t="shared" si="296"/>
        <v>1.0002930127186577E-2</v>
      </c>
      <c r="J356" s="1385">
        <f t="shared" si="296"/>
        <v>1.0000566069777535E-2</v>
      </c>
      <c r="K356" s="1541"/>
      <c r="AC356" s="1010"/>
      <c r="AD356" s="1016"/>
      <c r="AE356" s="1016"/>
      <c r="AF356" s="1016"/>
      <c r="AG356" s="1016"/>
      <c r="AH356" s="1016"/>
      <c r="AI356" s="1023"/>
    </row>
    <row r="357" spans="1:35">
      <c r="A357" s="750"/>
      <c r="B357" s="750"/>
      <c r="C357" s="325"/>
      <c r="D357" s="325"/>
      <c r="E357" s="325"/>
      <c r="F357" s="319"/>
      <c r="G357" s="319"/>
      <c r="H357" s="319"/>
      <c r="I357" s="319"/>
      <c r="J357" s="319"/>
      <c r="K357" s="319"/>
      <c r="M357" s="1006"/>
      <c r="AC357" s="1010"/>
      <c r="AD357" s="1012"/>
      <c r="AE357" s="1012"/>
      <c r="AF357" s="1012"/>
      <c r="AG357" s="1012"/>
      <c r="AH357" s="1012"/>
      <c r="AI357" s="1023"/>
    </row>
    <row r="358" spans="1:35" ht="15" customHeight="1">
      <c r="A358" s="865" t="s">
        <v>406</v>
      </c>
      <c r="B358" s="805"/>
      <c r="C358" s="678"/>
      <c r="D358" s="734"/>
      <c r="E358" s="734"/>
      <c r="F358" s="581"/>
      <c r="G358" s="651"/>
      <c r="H358" s="666"/>
      <c r="I358" s="710"/>
      <c r="J358" s="734"/>
      <c r="K358" s="394"/>
      <c r="M358" s="1006"/>
      <c r="AC358" s="1010"/>
      <c r="AD358" s="1012"/>
      <c r="AE358" s="1012"/>
      <c r="AF358" s="1012"/>
      <c r="AG358" s="1012"/>
      <c r="AH358" s="1012"/>
      <c r="AI358" s="1023"/>
    </row>
    <row r="359" spans="1:35" ht="25.5" customHeight="1">
      <c r="A359" s="808" t="s">
        <v>285</v>
      </c>
      <c r="B359" s="807"/>
      <c r="C359" s="394"/>
      <c r="D359" s="394"/>
      <c r="E359" s="394"/>
      <c r="F359" s="394"/>
      <c r="G359" s="394"/>
      <c r="H359" s="394"/>
      <c r="I359" s="394"/>
      <c r="J359" s="394"/>
      <c r="K359" s="394"/>
      <c r="AC359" s="1010"/>
      <c r="AD359" s="1012"/>
      <c r="AE359" s="1012"/>
      <c r="AF359" s="1012"/>
      <c r="AG359" s="1012"/>
      <c r="AH359" s="1012"/>
      <c r="AI359" s="1023"/>
    </row>
    <row r="360" spans="1:35">
      <c r="A360" s="808" t="s">
        <v>884</v>
      </c>
      <c r="B360" s="807"/>
      <c r="C360" s="394"/>
      <c r="D360" s="394"/>
      <c r="E360" s="394"/>
      <c r="F360" s="394"/>
      <c r="G360" s="394"/>
      <c r="H360" s="394"/>
      <c r="I360" s="394"/>
      <c r="J360" s="394"/>
      <c r="K360" s="394"/>
      <c r="L360" s="434"/>
      <c r="AC360" s="1010"/>
      <c r="AD360" s="1012"/>
      <c r="AE360" s="1012"/>
      <c r="AF360" s="1012"/>
      <c r="AG360" s="1012"/>
      <c r="AH360" s="1012"/>
      <c r="AI360" s="1023"/>
    </row>
    <row r="361" spans="1:35">
      <c r="A361" s="808"/>
      <c r="B361" s="807"/>
      <c r="C361" s="394"/>
      <c r="D361" s="394"/>
      <c r="E361" s="394"/>
      <c r="F361" s="394"/>
      <c r="G361" s="394"/>
      <c r="H361" s="394"/>
      <c r="I361" s="394"/>
      <c r="J361" s="394"/>
      <c r="K361" s="395"/>
      <c r="L361" s="1514"/>
      <c r="AC361" s="1370"/>
      <c r="AD361" s="1371"/>
      <c r="AE361" s="1371"/>
      <c r="AF361" s="1371"/>
      <c r="AG361" s="1371"/>
      <c r="AH361" s="1371"/>
      <c r="AI361" s="1023"/>
    </row>
    <row r="362" spans="1:35">
      <c r="A362" s="806" t="s">
        <v>265</v>
      </c>
      <c r="B362" s="395"/>
      <c r="C362" s="910" t="s">
        <v>431</v>
      </c>
      <c r="D362" s="910" t="str">
        <f t="shared" ref="D362:F362" si="297">+D350</f>
        <v>FY20</v>
      </c>
      <c r="E362" s="910" t="str">
        <f t="shared" si="297"/>
        <v>FY21</v>
      </c>
      <c r="F362" s="910" t="str">
        <f t="shared" si="297"/>
        <v>FY22</v>
      </c>
      <c r="G362" s="910" t="str">
        <f>+G350</f>
        <v>FY23</v>
      </c>
      <c r="H362" s="910" t="str">
        <f>+H350</f>
        <v>FY24</v>
      </c>
      <c r="I362" s="910" t="str">
        <f>+I350</f>
        <v>FY25</v>
      </c>
      <c r="J362" s="910" t="str">
        <f>+J350</f>
        <v>FY26</v>
      </c>
      <c r="K362" s="396"/>
      <c r="M362" s="1515"/>
      <c r="AC362" s="1029" t="str">
        <f>A362</f>
        <v>Source</v>
      </c>
      <c r="AD362" s="1018" t="str">
        <f t="shared" ref="AD362:AH365" si="298">F362</f>
        <v>FY22</v>
      </c>
      <c r="AE362" s="1018" t="str">
        <f t="shared" si="298"/>
        <v>FY23</v>
      </c>
      <c r="AF362" s="1018" t="str">
        <f t="shared" si="298"/>
        <v>FY24</v>
      </c>
      <c r="AG362" s="1018" t="str">
        <f t="shared" si="298"/>
        <v>FY25</v>
      </c>
      <c r="AH362" s="1018" t="str">
        <f t="shared" si="298"/>
        <v>FY26</v>
      </c>
      <c r="AI362" s="1023"/>
    </row>
    <row r="363" spans="1:35">
      <c r="A363" s="808" t="s">
        <v>391</v>
      </c>
      <c r="B363" s="809"/>
      <c r="C363" s="396">
        <v>35000</v>
      </c>
      <c r="D363" s="396">
        <v>35000</v>
      </c>
      <c r="E363" s="396">
        <f t="shared" ref="E363:J363" si="299">ROUND(D363*1,0)</f>
        <v>35000</v>
      </c>
      <c r="F363" s="360">
        <f t="shared" si="299"/>
        <v>35000</v>
      </c>
      <c r="G363" s="360">
        <f t="shared" si="299"/>
        <v>35000</v>
      </c>
      <c r="H363" s="360">
        <f t="shared" si="299"/>
        <v>35000</v>
      </c>
      <c r="I363" s="360">
        <f t="shared" si="299"/>
        <v>35000</v>
      </c>
      <c r="J363" s="360">
        <f t="shared" si="299"/>
        <v>35000</v>
      </c>
      <c r="K363" s="396"/>
      <c r="M363" s="434"/>
      <c r="N363" s="434"/>
      <c r="AC363" s="1010" t="str">
        <f>A363</f>
        <v>Operating Transfers Out Line #5.010</v>
      </c>
      <c r="AD363" s="1012">
        <f t="shared" si="298"/>
        <v>35000</v>
      </c>
      <c r="AE363" s="1012">
        <f t="shared" si="298"/>
        <v>35000</v>
      </c>
      <c r="AF363" s="1012">
        <f t="shared" si="298"/>
        <v>35000</v>
      </c>
      <c r="AG363" s="1012">
        <f t="shared" si="298"/>
        <v>35000</v>
      </c>
      <c r="AH363" s="1012">
        <f t="shared" si="298"/>
        <v>35000</v>
      </c>
      <c r="AI363" s="1023"/>
    </row>
    <row r="364" spans="1:35" ht="15.6">
      <c r="A364" s="808" t="s">
        <v>392</v>
      </c>
      <c r="B364" s="846"/>
      <c r="C364" s="439">
        <v>3283.99</v>
      </c>
      <c r="D364" s="439">
        <v>0</v>
      </c>
      <c r="E364" s="439">
        <v>102915</v>
      </c>
      <c r="F364" s="1587">
        <v>0</v>
      </c>
      <c r="G364" s="409">
        <f t="shared" ref="G364:J364" si="300">ROUND(F364*1,0)</f>
        <v>0</v>
      </c>
      <c r="H364" s="409">
        <f t="shared" si="300"/>
        <v>0</v>
      </c>
      <c r="I364" s="409">
        <f t="shared" si="300"/>
        <v>0</v>
      </c>
      <c r="J364" s="409">
        <f t="shared" si="300"/>
        <v>0</v>
      </c>
      <c r="K364" s="396"/>
      <c r="M364" s="1573"/>
      <c r="N364" s="434"/>
      <c r="AC364" s="1010" t="str">
        <f>A364</f>
        <v>Advances Out Line #5.020</v>
      </c>
      <c r="AD364" s="1015">
        <f t="shared" si="298"/>
        <v>0</v>
      </c>
      <c r="AE364" s="1015">
        <f t="shared" si="298"/>
        <v>0</v>
      </c>
      <c r="AF364" s="1015">
        <f t="shared" si="298"/>
        <v>0</v>
      </c>
      <c r="AG364" s="1015">
        <f t="shared" si="298"/>
        <v>0</v>
      </c>
      <c r="AH364" s="1015">
        <f t="shared" si="298"/>
        <v>0</v>
      </c>
      <c r="AI364" s="1023"/>
    </row>
    <row r="365" spans="1:35" ht="15.6">
      <c r="A365" s="1379" t="s">
        <v>1028</v>
      </c>
      <c r="B365" s="812"/>
      <c r="C365" s="399">
        <v>38283.99</v>
      </c>
      <c r="D365" s="399">
        <f t="shared" ref="D365" si="301">SUM(D363:D364)</f>
        <v>35000</v>
      </c>
      <c r="E365" s="399">
        <f>ROUND(SUM(E363:E364),0)</f>
        <v>137915</v>
      </c>
      <c r="F365" s="399">
        <f t="shared" ref="F365:I365" si="302">ROUND(SUM(F363:F364),0)</f>
        <v>35000</v>
      </c>
      <c r="G365" s="399">
        <f t="shared" si="302"/>
        <v>35000</v>
      </c>
      <c r="H365" s="399">
        <f t="shared" si="302"/>
        <v>35000</v>
      </c>
      <c r="I365" s="399">
        <f t="shared" si="302"/>
        <v>35000</v>
      </c>
      <c r="J365" s="399">
        <f t="shared" ref="J365" si="303">ROUND(SUM(J363:J364),0)</f>
        <v>35000</v>
      </c>
      <c r="K365" s="396"/>
      <c r="M365" s="403"/>
      <c r="N365" s="434"/>
      <c r="AC365" s="1372" t="str">
        <f>A365</f>
        <v>Total Transfer &amp; Advances Out</v>
      </c>
      <c r="AD365" s="1373">
        <f t="shared" si="298"/>
        <v>35000</v>
      </c>
      <c r="AE365" s="1373">
        <f t="shared" si="298"/>
        <v>35000</v>
      </c>
      <c r="AF365" s="1373">
        <f t="shared" si="298"/>
        <v>35000</v>
      </c>
      <c r="AG365" s="1373">
        <f t="shared" si="298"/>
        <v>35000</v>
      </c>
      <c r="AH365" s="1373">
        <f t="shared" si="298"/>
        <v>35000</v>
      </c>
      <c r="AI365" s="1023"/>
    </row>
    <row r="366" spans="1:35" ht="15.6">
      <c r="A366" s="874"/>
      <c r="B366" s="812"/>
      <c r="C366" s="399"/>
      <c r="D366" s="399"/>
      <c r="E366" s="399"/>
      <c r="F366" s="399"/>
      <c r="G366" s="399"/>
      <c r="H366" s="399"/>
      <c r="I366" s="399"/>
      <c r="J366" s="399"/>
      <c r="K366" s="396"/>
      <c r="M366" s="403"/>
      <c r="AC366" s="1010"/>
      <c r="AD366" s="1012"/>
      <c r="AE366" s="1012"/>
      <c r="AF366" s="1012"/>
      <c r="AG366" s="1012"/>
      <c r="AH366" s="1012"/>
      <c r="AI366" s="1023"/>
    </row>
    <row r="367" spans="1:35" ht="15.6">
      <c r="A367" s="806"/>
      <c r="B367" s="812"/>
      <c r="C367" s="399"/>
      <c r="D367" s="399"/>
      <c r="E367" s="399"/>
      <c r="F367" s="399"/>
      <c r="G367" s="399"/>
      <c r="H367" s="399"/>
      <c r="I367" s="399"/>
      <c r="J367" s="399"/>
      <c r="K367" s="396"/>
      <c r="M367" s="403"/>
      <c r="AC367" s="1010"/>
      <c r="AD367" s="1012"/>
      <c r="AE367" s="1012"/>
      <c r="AF367" s="1012"/>
      <c r="AG367" s="1012"/>
      <c r="AH367" s="1012"/>
      <c r="AI367" s="1023"/>
    </row>
    <row r="368" spans="1:35" ht="15.6">
      <c r="A368" s="806" t="s">
        <v>265</v>
      </c>
      <c r="B368" s="812"/>
      <c r="C368" s="909" t="s">
        <v>431</v>
      </c>
      <c r="D368" s="909" t="str">
        <f t="shared" ref="D368:G368" si="304">D362</f>
        <v>FY20</v>
      </c>
      <c r="E368" s="909" t="str">
        <f t="shared" si="304"/>
        <v>FY21</v>
      </c>
      <c r="F368" s="909" t="str">
        <f t="shared" si="304"/>
        <v>FY22</v>
      </c>
      <c r="G368" s="909" t="str">
        <f t="shared" si="304"/>
        <v>FY23</v>
      </c>
      <c r="H368" s="909" t="str">
        <f t="shared" ref="H368:I368" si="305">H362</f>
        <v>FY24</v>
      </c>
      <c r="I368" s="909" t="str">
        <f t="shared" si="305"/>
        <v>FY25</v>
      </c>
      <c r="J368" s="909" t="str">
        <f t="shared" ref="J368" si="306">J362</f>
        <v>FY26</v>
      </c>
      <c r="K368" s="396"/>
      <c r="M368" s="1576"/>
      <c r="AC368" s="1029" t="str">
        <f>A368</f>
        <v>Source</v>
      </c>
      <c r="AD368" s="1018" t="str">
        <f t="shared" ref="AD368:AH369" si="307">F368</f>
        <v>FY22</v>
      </c>
      <c r="AE368" s="1018" t="str">
        <f t="shared" si="307"/>
        <v>FY23</v>
      </c>
      <c r="AF368" s="1018" t="str">
        <f t="shared" si="307"/>
        <v>FY24</v>
      </c>
      <c r="AG368" s="1018" t="str">
        <f t="shared" si="307"/>
        <v>FY25</v>
      </c>
      <c r="AH368" s="1018" t="str">
        <f t="shared" si="307"/>
        <v>FY26</v>
      </c>
      <c r="AI368" s="1023"/>
    </row>
    <row r="369" spans="1:35" ht="16.2" thickBot="1">
      <c r="A369" s="875" t="s">
        <v>393</v>
      </c>
      <c r="B369" s="813"/>
      <c r="C369" s="401">
        <v>0</v>
      </c>
      <c r="D369" s="401">
        <v>0</v>
      </c>
      <c r="E369" s="401">
        <v>0</v>
      </c>
      <c r="F369" s="391">
        <v>0</v>
      </c>
      <c r="G369" s="391">
        <v>0</v>
      </c>
      <c r="H369" s="391">
        <v>0</v>
      </c>
      <c r="I369" s="391">
        <v>0</v>
      </c>
      <c r="J369" s="391">
        <v>0</v>
      </c>
      <c r="K369" s="401"/>
      <c r="M369" s="403"/>
      <c r="N369" s="434"/>
      <c r="AC369" s="1010" t="str">
        <f>A369</f>
        <v>All Other Financing Uses - Line #5.030</v>
      </c>
      <c r="AD369" s="1016">
        <f t="shared" si="307"/>
        <v>0</v>
      </c>
      <c r="AE369" s="1016">
        <f t="shared" si="307"/>
        <v>0</v>
      </c>
      <c r="AF369" s="1016">
        <f t="shared" si="307"/>
        <v>0</v>
      </c>
      <c r="AG369" s="1016">
        <f t="shared" si="307"/>
        <v>0</v>
      </c>
      <c r="AH369" s="1016">
        <f t="shared" si="307"/>
        <v>0</v>
      </c>
      <c r="AI369" s="1023"/>
    </row>
    <row r="370" spans="1:35" ht="15.6">
      <c r="A370" s="876"/>
      <c r="B370" s="814"/>
      <c r="C370" s="403"/>
      <c r="D370" s="403"/>
      <c r="E370" s="403"/>
      <c r="F370" s="403"/>
      <c r="G370" s="403"/>
      <c r="H370" s="403"/>
      <c r="I370" s="403"/>
      <c r="J370" s="403"/>
      <c r="K370" s="319"/>
      <c r="M370" s="1006"/>
      <c r="AC370" s="1010"/>
      <c r="AD370" s="1012"/>
      <c r="AE370" s="1012"/>
      <c r="AF370" s="1012"/>
      <c r="AG370" s="1012"/>
      <c r="AH370" s="1012"/>
      <c r="AI370" s="1023"/>
    </row>
    <row r="371" spans="1:35">
      <c r="A371" s="750"/>
      <c r="B371" s="750"/>
      <c r="C371" s="319"/>
      <c r="D371" s="319"/>
      <c r="E371" s="319"/>
      <c r="F371" s="319"/>
      <c r="G371" s="319"/>
      <c r="H371" s="319"/>
      <c r="I371" s="319"/>
      <c r="J371" s="319"/>
      <c r="K371" s="319"/>
      <c r="AC371" s="1010"/>
      <c r="AD371" s="1012"/>
      <c r="AE371" s="1012"/>
      <c r="AF371" s="1012"/>
      <c r="AG371" s="1012"/>
      <c r="AH371" s="1012"/>
      <c r="AI371" s="1023"/>
    </row>
    <row r="372" spans="1:35" ht="12.75" customHeight="1">
      <c r="A372" s="870" t="s">
        <v>407</v>
      </c>
      <c r="B372" s="440"/>
      <c r="C372" s="422"/>
      <c r="D372" s="732"/>
      <c r="E372" s="485"/>
      <c r="F372" s="589"/>
      <c r="G372" s="647"/>
      <c r="H372" s="674"/>
      <c r="I372" s="718"/>
      <c r="J372" s="732"/>
      <c r="K372" s="423"/>
      <c r="AC372" s="1010"/>
      <c r="AD372" s="1012"/>
      <c r="AE372" s="1012"/>
      <c r="AF372" s="1012"/>
      <c r="AG372" s="1012"/>
      <c r="AH372" s="1012"/>
      <c r="AI372" s="1023"/>
    </row>
    <row r="373" spans="1:35" ht="12.75" customHeight="1">
      <c r="A373" s="847"/>
      <c r="B373" s="827"/>
      <c r="C373" s="423"/>
      <c r="D373" s="423"/>
      <c r="E373" s="423"/>
      <c r="F373" s="423"/>
      <c r="G373" s="423"/>
      <c r="H373" s="423"/>
      <c r="I373" s="423"/>
      <c r="J373" s="423"/>
      <c r="K373" s="423"/>
      <c r="AC373" s="1010"/>
      <c r="AD373" s="1012"/>
      <c r="AE373" s="1012"/>
      <c r="AF373" s="1012"/>
      <c r="AG373" s="1012"/>
      <c r="AH373" s="1012"/>
      <c r="AI373" s="1023"/>
    </row>
    <row r="374" spans="1:35">
      <c r="A374" s="826" t="s">
        <v>251</v>
      </c>
      <c r="B374" s="827"/>
      <c r="C374" s="423"/>
      <c r="D374" s="423"/>
      <c r="E374" s="423"/>
      <c r="F374" s="423"/>
      <c r="G374" s="423"/>
      <c r="H374" s="423"/>
      <c r="I374" s="423"/>
      <c r="J374" s="423"/>
      <c r="K374" s="424"/>
      <c r="AC374" s="1010"/>
      <c r="AD374" s="1012"/>
      <c r="AE374" s="1012"/>
      <c r="AF374" s="1012"/>
      <c r="AG374" s="1012"/>
      <c r="AH374" s="1012"/>
      <c r="AI374" s="1023"/>
    </row>
    <row r="375" spans="1:35" ht="15.6">
      <c r="A375" s="826" t="s">
        <v>244</v>
      </c>
      <c r="B375" s="827"/>
      <c r="C375" s="423"/>
      <c r="D375" s="423"/>
      <c r="E375" s="423"/>
      <c r="F375" s="423"/>
      <c r="G375" s="423"/>
      <c r="H375" s="423"/>
      <c r="I375" s="423"/>
      <c r="J375" s="423"/>
      <c r="K375" s="1542"/>
      <c r="L375" s="434"/>
      <c r="AC375" s="1370"/>
      <c r="AD375" s="1371"/>
      <c r="AE375" s="1371"/>
      <c r="AF375" s="1371"/>
      <c r="AG375" s="1371"/>
      <c r="AH375" s="1371"/>
      <c r="AI375" s="1023"/>
    </row>
    <row r="376" spans="1:35">
      <c r="A376" s="826"/>
      <c r="B376" s="827"/>
      <c r="C376" s="908" t="s">
        <v>431</v>
      </c>
      <c r="D376" s="908" t="str">
        <f t="shared" ref="D376:I376" si="308">+D26</f>
        <v>FY20</v>
      </c>
      <c r="E376" s="908" t="str">
        <f t="shared" si="308"/>
        <v>FY21</v>
      </c>
      <c r="F376" s="908" t="str">
        <f t="shared" si="308"/>
        <v>FY22</v>
      </c>
      <c r="G376" s="908" t="str">
        <f t="shared" si="308"/>
        <v>FY23</v>
      </c>
      <c r="H376" s="908" t="str">
        <f t="shared" si="308"/>
        <v>FY24</v>
      </c>
      <c r="I376" s="908" t="str">
        <f t="shared" si="308"/>
        <v>FY25</v>
      </c>
      <c r="J376" s="908" t="str">
        <f t="shared" ref="J376" si="309">+J26</f>
        <v>FY26</v>
      </c>
      <c r="K376" s="423"/>
      <c r="L376" s="1514"/>
      <c r="M376" s="1515"/>
      <c r="AC376" s="1029"/>
      <c r="AD376" s="1018" t="str">
        <f t="shared" ref="AD376:AH377" si="310">F376</f>
        <v>FY22</v>
      </c>
      <c r="AE376" s="1018" t="str">
        <f t="shared" si="310"/>
        <v>FY23</v>
      </c>
      <c r="AF376" s="1018" t="str">
        <f t="shared" si="310"/>
        <v>FY24</v>
      </c>
      <c r="AG376" s="1018" t="str">
        <f t="shared" si="310"/>
        <v>FY25</v>
      </c>
      <c r="AH376" s="1018" t="str">
        <f t="shared" si="310"/>
        <v>FY26</v>
      </c>
      <c r="AI376" s="1023"/>
    </row>
    <row r="377" spans="1:35" ht="15.6">
      <c r="A377" s="826" t="s">
        <v>287</v>
      </c>
      <c r="B377" s="827"/>
      <c r="C377" s="903">
        <v>0</v>
      </c>
      <c r="D377" s="903">
        <v>0</v>
      </c>
      <c r="E377" s="903">
        <f>+D377</f>
        <v>0</v>
      </c>
      <c r="F377" s="385">
        <f t="shared" ref="F377:J377" si="311">+E377</f>
        <v>0</v>
      </c>
      <c r="G377" s="385">
        <f t="shared" si="311"/>
        <v>0</v>
      </c>
      <c r="H377" s="385">
        <f t="shared" si="311"/>
        <v>0</v>
      </c>
      <c r="I377" s="385">
        <f t="shared" si="311"/>
        <v>0</v>
      </c>
      <c r="J377" s="385">
        <f t="shared" si="311"/>
        <v>0</v>
      </c>
      <c r="K377" s="423"/>
      <c r="M377" s="403"/>
      <c r="N377" s="434"/>
      <c r="AC377" s="1010" t="str">
        <f>A377</f>
        <v>Estimated Encumbrances</v>
      </c>
      <c r="AD377" s="1016">
        <f t="shared" si="310"/>
        <v>0</v>
      </c>
      <c r="AE377" s="1016">
        <f t="shared" si="310"/>
        <v>0</v>
      </c>
      <c r="AF377" s="1016">
        <f t="shared" si="310"/>
        <v>0</v>
      </c>
      <c r="AG377" s="1016">
        <f t="shared" si="310"/>
        <v>0</v>
      </c>
      <c r="AH377" s="1016">
        <f t="shared" si="310"/>
        <v>0</v>
      </c>
      <c r="AI377" s="1023"/>
    </row>
    <row r="378" spans="1:35">
      <c r="A378" s="826"/>
      <c r="B378" s="827"/>
      <c r="C378" s="423"/>
      <c r="D378" s="423"/>
      <c r="E378" s="423"/>
      <c r="F378" s="423"/>
      <c r="G378" s="423"/>
      <c r="H378" s="423"/>
      <c r="I378" s="423"/>
      <c r="J378" s="423"/>
      <c r="K378" s="424"/>
      <c r="AC378" s="1010"/>
      <c r="AD378" s="1012"/>
      <c r="AE378" s="1012"/>
      <c r="AF378" s="1012"/>
      <c r="AG378" s="1012"/>
      <c r="AH378" s="1012"/>
      <c r="AI378" s="1023"/>
    </row>
    <row r="379" spans="1:35">
      <c r="A379" s="847" t="s">
        <v>202</v>
      </c>
      <c r="B379" s="827"/>
      <c r="C379" s="423"/>
      <c r="D379" s="423"/>
      <c r="E379" s="423"/>
      <c r="F379" s="423"/>
      <c r="G379" s="423"/>
      <c r="H379" s="423"/>
      <c r="I379" s="423"/>
      <c r="J379" s="423"/>
      <c r="K379" s="1543"/>
      <c r="AC379" s="1370"/>
      <c r="AD379" s="1371"/>
      <c r="AE379" s="1371"/>
      <c r="AF379" s="1371"/>
      <c r="AG379" s="1371"/>
      <c r="AH379" s="1371"/>
      <c r="AI379" s="1023"/>
    </row>
    <row r="380" spans="1:35">
      <c r="A380" s="847" t="s">
        <v>265</v>
      </c>
      <c r="B380" s="827"/>
      <c r="C380" s="908" t="s">
        <v>431</v>
      </c>
      <c r="D380" s="908" t="str">
        <f t="shared" ref="D380:I380" si="312">D26</f>
        <v>FY20</v>
      </c>
      <c r="E380" s="908" t="str">
        <f t="shared" si="312"/>
        <v>FY21</v>
      </c>
      <c r="F380" s="908" t="str">
        <f t="shared" si="312"/>
        <v>FY22</v>
      </c>
      <c r="G380" s="908" t="str">
        <f t="shared" si="312"/>
        <v>FY23</v>
      </c>
      <c r="H380" s="908" t="str">
        <f t="shared" si="312"/>
        <v>FY24</v>
      </c>
      <c r="I380" s="908" t="str">
        <f t="shared" si="312"/>
        <v>FY25</v>
      </c>
      <c r="J380" s="908" t="str">
        <f t="shared" ref="J380" si="313">J26</f>
        <v>FY26</v>
      </c>
      <c r="K380" s="1544"/>
      <c r="M380" s="1515"/>
      <c r="AC380" s="1029" t="str">
        <f t="shared" ref="AC380:AC389" si="314">A380</f>
        <v>Source</v>
      </c>
      <c r="AD380" s="1018" t="str">
        <f t="shared" ref="AD380:AD389" si="315">F380</f>
        <v>FY22</v>
      </c>
      <c r="AE380" s="1018" t="str">
        <f t="shared" ref="AE380:AE389" si="316">G380</f>
        <v>FY23</v>
      </c>
      <c r="AF380" s="1018" t="str">
        <f t="shared" ref="AF380:AF389" si="317">H380</f>
        <v>FY24</v>
      </c>
      <c r="AG380" s="1018" t="str">
        <f t="shared" ref="AG380:AG389" si="318">I380</f>
        <v>FY25</v>
      </c>
      <c r="AH380" s="1018" t="str">
        <f t="shared" ref="AH380:AH389" si="319">J380</f>
        <v>FY26</v>
      </c>
      <c r="AI380" s="1023"/>
    </row>
    <row r="381" spans="1:35">
      <c r="A381" s="826" t="s">
        <v>203</v>
      </c>
      <c r="B381" s="827"/>
      <c r="C381" s="425">
        <v>0</v>
      </c>
      <c r="D381" s="425">
        <v>0</v>
      </c>
      <c r="E381" s="425">
        <v>0</v>
      </c>
      <c r="F381" s="360">
        <v>0</v>
      </c>
      <c r="G381" s="360">
        <v>0</v>
      </c>
      <c r="H381" s="360">
        <v>0</v>
      </c>
      <c r="I381" s="360">
        <v>0</v>
      </c>
      <c r="J381" s="360">
        <v>0</v>
      </c>
      <c r="K381" s="1544"/>
      <c r="M381" s="434"/>
      <c r="N381" s="434"/>
      <c r="AC381" s="1010" t="str">
        <f t="shared" si="314"/>
        <v>Textbooks &amp; Instructional Materials- Line 9.010</v>
      </c>
      <c r="AD381" s="1012">
        <f t="shared" si="315"/>
        <v>0</v>
      </c>
      <c r="AE381" s="1012">
        <f t="shared" si="316"/>
        <v>0</v>
      </c>
      <c r="AF381" s="1012">
        <f t="shared" si="317"/>
        <v>0</v>
      </c>
      <c r="AG381" s="1012">
        <f t="shared" si="318"/>
        <v>0</v>
      </c>
      <c r="AH381" s="1012">
        <f t="shared" si="319"/>
        <v>0</v>
      </c>
      <c r="AI381" s="1023"/>
    </row>
    <row r="382" spans="1:35">
      <c r="A382" s="826" t="s">
        <v>204</v>
      </c>
      <c r="B382" s="827"/>
      <c r="C382" s="901">
        <v>0</v>
      </c>
      <c r="D382" s="901">
        <v>0</v>
      </c>
      <c r="E382" s="901">
        <v>0</v>
      </c>
      <c r="F382" s="367">
        <v>0</v>
      </c>
      <c r="G382" s="367">
        <v>0</v>
      </c>
      <c r="H382" s="367">
        <v>0</v>
      </c>
      <c r="I382" s="367">
        <v>0</v>
      </c>
      <c r="J382" s="367">
        <v>0</v>
      </c>
      <c r="K382" s="1544"/>
      <c r="M382" s="1003"/>
      <c r="N382" s="434"/>
      <c r="AC382" s="1010" t="str">
        <f t="shared" si="314"/>
        <v>Capital Improvements- Line 9.020</v>
      </c>
      <c r="AD382" s="1014">
        <f t="shared" si="315"/>
        <v>0</v>
      </c>
      <c r="AE382" s="1014">
        <f t="shared" si="316"/>
        <v>0</v>
      </c>
      <c r="AF382" s="1014">
        <f t="shared" si="317"/>
        <v>0</v>
      </c>
      <c r="AG382" s="1014">
        <f t="shared" si="318"/>
        <v>0</v>
      </c>
      <c r="AH382" s="1014">
        <f t="shared" si="319"/>
        <v>0</v>
      </c>
      <c r="AI382" s="1023"/>
    </row>
    <row r="383" spans="1:35">
      <c r="A383" s="826" t="s">
        <v>205</v>
      </c>
      <c r="B383" s="827"/>
      <c r="C383" s="901">
        <v>0</v>
      </c>
      <c r="D383" s="901">
        <v>0</v>
      </c>
      <c r="E383" s="901">
        <v>0</v>
      </c>
      <c r="F383" s="367">
        <v>0</v>
      </c>
      <c r="G383" s="367">
        <v>0</v>
      </c>
      <c r="H383" s="367">
        <v>0</v>
      </c>
      <c r="I383" s="367">
        <v>0</v>
      </c>
      <c r="J383" s="367">
        <v>0</v>
      </c>
      <c r="K383" s="1544"/>
      <c r="M383" s="1003"/>
      <c r="N383" s="434"/>
      <c r="AC383" s="1010" t="str">
        <f t="shared" si="314"/>
        <v>Budget Reserve - Line 9.030</v>
      </c>
      <c r="AD383" s="1014">
        <f t="shared" si="315"/>
        <v>0</v>
      </c>
      <c r="AE383" s="1014">
        <f t="shared" si="316"/>
        <v>0</v>
      </c>
      <c r="AF383" s="1014">
        <f t="shared" si="317"/>
        <v>0</v>
      </c>
      <c r="AG383" s="1014">
        <f t="shared" si="318"/>
        <v>0</v>
      </c>
      <c r="AH383" s="1014">
        <f t="shared" si="319"/>
        <v>0</v>
      </c>
      <c r="AI383" s="1023"/>
    </row>
    <row r="384" spans="1:35">
      <c r="A384" s="826" t="s">
        <v>289</v>
      </c>
      <c r="B384" s="827"/>
      <c r="C384" s="901">
        <v>0</v>
      </c>
      <c r="D384" s="901">
        <v>0</v>
      </c>
      <c r="E384" s="901">
        <v>0</v>
      </c>
      <c r="F384" s="367">
        <v>0</v>
      </c>
      <c r="G384" s="367">
        <v>0</v>
      </c>
      <c r="H384" s="367">
        <v>0</v>
      </c>
      <c r="I384" s="367">
        <v>0</v>
      </c>
      <c r="J384" s="367">
        <v>0</v>
      </c>
      <c r="K384" s="1544"/>
      <c r="M384" s="1003"/>
      <c r="N384" s="434"/>
      <c r="AC384" s="1010" t="str">
        <f t="shared" si="314"/>
        <v>DPIA - Line 9.040</v>
      </c>
      <c r="AD384" s="1014">
        <f t="shared" si="315"/>
        <v>0</v>
      </c>
      <c r="AE384" s="1014">
        <f t="shared" si="316"/>
        <v>0</v>
      </c>
      <c r="AF384" s="1014">
        <f t="shared" si="317"/>
        <v>0</v>
      </c>
      <c r="AG384" s="1014">
        <f t="shared" si="318"/>
        <v>0</v>
      </c>
      <c r="AH384" s="1014">
        <f t="shared" si="319"/>
        <v>0</v>
      </c>
      <c r="AI384" s="1023"/>
    </row>
    <row r="385" spans="1:35">
      <c r="A385" s="826" t="s">
        <v>206</v>
      </c>
      <c r="B385" s="827"/>
      <c r="C385" s="901">
        <v>0</v>
      </c>
      <c r="D385" s="901">
        <v>0</v>
      </c>
      <c r="E385" s="901">
        <v>0</v>
      </c>
      <c r="F385" s="367">
        <v>0</v>
      </c>
      <c r="G385" s="367">
        <v>0</v>
      </c>
      <c r="H385" s="367">
        <v>0</v>
      </c>
      <c r="I385" s="367">
        <v>0</v>
      </c>
      <c r="J385" s="367">
        <v>0</v>
      </c>
      <c r="K385" s="1544"/>
      <c r="M385" s="1003"/>
      <c r="N385" s="434"/>
      <c r="AC385" s="1010" t="str">
        <f t="shared" si="314"/>
        <v>Fiscal Stabilization - Line 9.045</v>
      </c>
      <c r="AD385" s="1014">
        <f t="shared" si="315"/>
        <v>0</v>
      </c>
      <c r="AE385" s="1014">
        <f t="shared" si="316"/>
        <v>0</v>
      </c>
      <c r="AF385" s="1014">
        <f t="shared" si="317"/>
        <v>0</v>
      </c>
      <c r="AG385" s="1014">
        <f t="shared" si="318"/>
        <v>0</v>
      </c>
      <c r="AH385" s="1014">
        <f t="shared" si="319"/>
        <v>0</v>
      </c>
      <c r="AI385" s="1023"/>
    </row>
    <row r="386" spans="1:35">
      <c r="A386" s="826" t="s">
        <v>288</v>
      </c>
      <c r="B386" s="827"/>
      <c r="C386" s="901">
        <v>0</v>
      </c>
      <c r="D386" s="901">
        <v>0</v>
      </c>
      <c r="E386" s="901">
        <v>0</v>
      </c>
      <c r="F386" s="367">
        <v>0</v>
      </c>
      <c r="G386" s="367">
        <v>0</v>
      </c>
      <c r="H386" s="367">
        <v>0</v>
      </c>
      <c r="I386" s="367">
        <v>0</v>
      </c>
      <c r="J386" s="367">
        <v>0</v>
      </c>
      <c r="K386" s="1545"/>
      <c r="M386" s="1003"/>
      <c r="N386" s="434"/>
      <c r="AC386" s="1010" t="str">
        <f t="shared" si="314"/>
        <v>Debt Service - Line 9.05</v>
      </c>
      <c r="AD386" s="1014">
        <f t="shared" si="315"/>
        <v>0</v>
      </c>
      <c r="AE386" s="1014">
        <f t="shared" si="316"/>
        <v>0</v>
      </c>
      <c r="AF386" s="1014">
        <f t="shared" si="317"/>
        <v>0</v>
      </c>
      <c r="AG386" s="1014">
        <f t="shared" si="318"/>
        <v>0</v>
      </c>
      <c r="AH386" s="1014">
        <f t="shared" si="319"/>
        <v>0</v>
      </c>
      <c r="AI386" s="1023"/>
    </row>
    <row r="387" spans="1:35" ht="15.6">
      <c r="A387" s="826" t="s">
        <v>207</v>
      </c>
      <c r="B387" s="827"/>
      <c r="C387" s="901">
        <v>0</v>
      </c>
      <c r="D387" s="901">
        <v>0</v>
      </c>
      <c r="E387" s="901">
        <v>0</v>
      </c>
      <c r="F387" s="367">
        <v>0</v>
      </c>
      <c r="G387" s="367">
        <v>0</v>
      </c>
      <c r="H387" s="367">
        <v>0</v>
      </c>
      <c r="I387" s="367">
        <v>0</v>
      </c>
      <c r="J387" s="367">
        <v>0</v>
      </c>
      <c r="K387" s="1546"/>
      <c r="M387" s="1003"/>
      <c r="N387" s="434"/>
      <c r="AC387" s="1010" t="str">
        <f t="shared" si="314"/>
        <v>Property Tax Advances for Future Year- Line 9.060</v>
      </c>
      <c r="AD387" s="1014">
        <f t="shared" si="315"/>
        <v>0</v>
      </c>
      <c r="AE387" s="1014">
        <f t="shared" si="316"/>
        <v>0</v>
      </c>
      <c r="AF387" s="1014">
        <f t="shared" si="317"/>
        <v>0</v>
      </c>
      <c r="AG387" s="1014">
        <f t="shared" si="318"/>
        <v>0</v>
      </c>
      <c r="AH387" s="1014">
        <f t="shared" si="319"/>
        <v>0</v>
      </c>
      <c r="AI387" s="1023"/>
    </row>
    <row r="388" spans="1:35" ht="15.6">
      <c r="A388" s="826" t="s">
        <v>208</v>
      </c>
      <c r="B388" s="827"/>
      <c r="C388" s="923">
        <v>0</v>
      </c>
      <c r="D388" s="923">
        <v>0</v>
      </c>
      <c r="E388" s="923">
        <v>0</v>
      </c>
      <c r="F388" s="344">
        <v>0</v>
      </c>
      <c r="G388" s="344">
        <v>0</v>
      </c>
      <c r="H388" s="344">
        <v>0</v>
      </c>
      <c r="I388" s="344">
        <v>0</v>
      </c>
      <c r="J388" s="344">
        <v>0</v>
      </c>
      <c r="K388" s="423"/>
      <c r="L388" s="403"/>
      <c r="M388" s="1563"/>
      <c r="N388" s="434"/>
      <c r="AC388" s="1010" t="str">
        <f t="shared" si="314"/>
        <v>State Bus Purchases- Line 9.070</v>
      </c>
      <c r="AD388" s="1015">
        <f t="shared" si="315"/>
        <v>0</v>
      </c>
      <c r="AE388" s="1015">
        <f t="shared" si="316"/>
        <v>0</v>
      </c>
      <c r="AF388" s="1015">
        <f t="shared" si="317"/>
        <v>0</v>
      </c>
      <c r="AG388" s="1015">
        <f t="shared" si="318"/>
        <v>0</v>
      </c>
      <c r="AH388" s="1015">
        <f t="shared" si="319"/>
        <v>0</v>
      </c>
      <c r="AI388" s="1023"/>
    </row>
    <row r="389" spans="1:35" ht="15.6">
      <c r="A389" s="826" t="s">
        <v>379</v>
      </c>
      <c r="B389" s="827"/>
      <c r="C389" s="902">
        <v>0</v>
      </c>
      <c r="D389" s="902">
        <f t="shared" ref="D389:G389" si="320">SUM(D381:D388)</f>
        <v>0</v>
      </c>
      <c r="E389" s="902">
        <f t="shared" si="320"/>
        <v>0</v>
      </c>
      <c r="F389" s="902">
        <f t="shared" si="320"/>
        <v>0</v>
      </c>
      <c r="G389" s="902">
        <f t="shared" si="320"/>
        <v>0</v>
      </c>
      <c r="H389" s="902">
        <f t="shared" ref="H389:I389" si="321">SUM(H381:H388)</f>
        <v>0</v>
      </c>
      <c r="I389" s="902">
        <f t="shared" si="321"/>
        <v>0</v>
      </c>
      <c r="J389" s="902">
        <f t="shared" ref="J389" si="322">SUM(J381:J388)</f>
        <v>0</v>
      </c>
      <c r="K389" s="423"/>
      <c r="M389" s="403"/>
      <c r="N389" s="434"/>
      <c r="AC389" s="1010" t="str">
        <f t="shared" si="314"/>
        <v>Total Reservations of Balance- Line#9.080</v>
      </c>
      <c r="AD389" s="1012">
        <f t="shared" si="315"/>
        <v>0</v>
      </c>
      <c r="AE389" s="1012">
        <f t="shared" si="316"/>
        <v>0</v>
      </c>
      <c r="AF389" s="1012">
        <f t="shared" si="317"/>
        <v>0</v>
      </c>
      <c r="AG389" s="1012">
        <f t="shared" si="318"/>
        <v>0</v>
      </c>
      <c r="AH389" s="1012">
        <f t="shared" si="319"/>
        <v>0</v>
      </c>
      <c r="AI389" s="1023"/>
    </row>
    <row r="390" spans="1:35">
      <c r="A390" s="826"/>
      <c r="B390" s="827"/>
      <c r="C390" s="423"/>
      <c r="D390" s="423"/>
      <c r="E390" s="423"/>
      <c r="F390" s="423"/>
      <c r="G390" s="423"/>
      <c r="H390" s="423"/>
      <c r="I390" s="423"/>
      <c r="J390" s="423"/>
      <c r="K390" s="440"/>
      <c r="L390" s="1514"/>
      <c r="AC390" s="1010"/>
      <c r="AD390" s="1012"/>
      <c r="AE390" s="1012"/>
      <c r="AF390" s="1012"/>
      <c r="AG390" s="1012"/>
      <c r="AH390" s="1012"/>
      <c r="AI390" s="1023"/>
    </row>
    <row r="391" spans="1:35" ht="15.6">
      <c r="A391" s="847" t="s">
        <v>245</v>
      </c>
      <c r="B391" s="827"/>
      <c r="C391" s="423"/>
      <c r="D391" s="423"/>
      <c r="E391" s="423"/>
      <c r="F391" s="423"/>
      <c r="G391" s="423"/>
      <c r="H391" s="423"/>
      <c r="I391" s="423"/>
      <c r="J391" s="423"/>
      <c r="K391" s="1547"/>
      <c r="AC391" s="1370"/>
      <c r="AD391" s="1371"/>
      <c r="AE391" s="1371"/>
      <c r="AF391" s="1371"/>
      <c r="AG391" s="1371"/>
      <c r="AH391" s="1371"/>
      <c r="AI391" s="1023"/>
    </row>
    <row r="392" spans="1:35">
      <c r="A392" s="847"/>
      <c r="B392" s="827"/>
      <c r="C392" s="908" t="s">
        <v>431</v>
      </c>
      <c r="D392" s="908" t="str">
        <f t="shared" ref="D392:I392" si="323">+D26</f>
        <v>FY20</v>
      </c>
      <c r="E392" s="908" t="str">
        <f t="shared" si="323"/>
        <v>FY21</v>
      </c>
      <c r="F392" s="908" t="str">
        <f t="shared" si="323"/>
        <v>FY22</v>
      </c>
      <c r="G392" s="908" t="str">
        <f t="shared" si="323"/>
        <v>FY23</v>
      </c>
      <c r="H392" s="908" t="str">
        <f t="shared" si="323"/>
        <v>FY24</v>
      </c>
      <c r="I392" s="908" t="str">
        <f t="shared" si="323"/>
        <v>FY25</v>
      </c>
      <c r="J392" s="908" t="str">
        <f t="shared" ref="J392" si="324">+J26</f>
        <v>FY26</v>
      </c>
      <c r="K392" s="441"/>
      <c r="M392" s="1515"/>
      <c r="AC392" s="1029"/>
      <c r="AD392" s="1017" t="str">
        <f t="shared" ref="AD392:AH393" si="325">F392</f>
        <v>FY22</v>
      </c>
      <c r="AE392" s="1017" t="str">
        <f t="shared" si="325"/>
        <v>FY23</v>
      </c>
      <c r="AF392" s="1017" t="str">
        <f t="shared" si="325"/>
        <v>FY24</v>
      </c>
      <c r="AG392" s="1017" t="str">
        <f t="shared" si="325"/>
        <v>FY25</v>
      </c>
      <c r="AH392" s="1017" t="str">
        <f t="shared" si="325"/>
        <v>FY26</v>
      </c>
      <c r="AI392" s="1023"/>
    </row>
    <row r="393" spans="1:35" ht="15.6">
      <c r="A393" s="847" t="s">
        <v>726</v>
      </c>
      <c r="B393" s="827"/>
      <c r="C393" s="902">
        <f>Forecast!D91</f>
        <v>7030148</v>
      </c>
      <c r="D393" s="902">
        <f>Forecast!E91</f>
        <v>6529301</v>
      </c>
      <c r="E393" s="902">
        <f>Forecast!F91</f>
        <v>6532351</v>
      </c>
      <c r="F393" s="902">
        <f>Forecast!H91</f>
        <v>5417966</v>
      </c>
      <c r="G393" s="902">
        <f>Forecast!I91</f>
        <v>4207737</v>
      </c>
      <c r="H393" s="902">
        <f>Forecast!J91</f>
        <v>1976763</v>
      </c>
      <c r="I393" s="902">
        <f>Forecast!K91</f>
        <v>-1023475</v>
      </c>
      <c r="J393" s="902">
        <f>Forecast!L91</f>
        <v>-4690452</v>
      </c>
      <c r="K393" s="423"/>
      <c r="M393" s="403"/>
      <c r="N393" s="434"/>
      <c r="AC393" s="1010" t="str">
        <f>A393</f>
        <v>Ending Unencumbered Cash Balance</v>
      </c>
      <c r="AD393" s="1016">
        <f t="shared" si="325"/>
        <v>5417966</v>
      </c>
      <c r="AE393" s="1016">
        <f t="shared" si="325"/>
        <v>4207737</v>
      </c>
      <c r="AF393" s="1016">
        <f t="shared" si="325"/>
        <v>1976763</v>
      </c>
      <c r="AG393" s="1016">
        <f t="shared" si="325"/>
        <v>-1023475</v>
      </c>
      <c r="AH393" s="1016">
        <f t="shared" si="325"/>
        <v>-4690452</v>
      </c>
      <c r="AI393" s="1023"/>
    </row>
    <row r="394" spans="1:35">
      <c r="A394" s="847"/>
      <c r="B394" s="827"/>
      <c r="C394" s="441"/>
      <c r="D394" s="441"/>
      <c r="E394" s="441"/>
      <c r="F394" s="441"/>
      <c r="G394" s="441"/>
      <c r="H394" s="441"/>
      <c r="I394" s="441"/>
      <c r="J394" s="441"/>
      <c r="K394" s="423"/>
      <c r="M394" s="1024"/>
      <c r="AC394" s="1010"/>
      <c r="AD394" s="1011"/>
      <c r="AE394" s="1011"/>
      <c r="AF394" s="1011"/>
      <c r="AG394" s="1011"/>
      <c r="AH394" s="1011"/>
      <c r="AI394" s="1023"/>
    </row>
    <row r="395" spans="1:35">
      <c r="A395" s="847">
        <f>+Cover!D60</f>
        <v>49452</v>
      </c>
      <c r="B395" s="827"/>
      <c r="C395" s="908" t="s">
        <v>431</v>
      </c>
      <c r="D395" s="908" t="str">
        <f t="shared" ref="D395:F395" si="326">+D392</f>
        <v>FY20</v>
      </c>
      <c r="E395" s="908" t="str">
        <f t="shared" si="326"/>
        <v>FY21</v>
      </c>
      <c r="F395" s="908" t="str">
        <f t="shared" si="326"/>
        <v>FY22</v>
      </c>
      <c r="G395" s="908" t="str">
        <f>+G392</f>
        <v>FY23</v>
      </c>
      <c r="H395" s="908" t="str">
        <f>+H392</f>
        <v>FY24</v>
      </c>
      <c r="I395" s="908" t="str">
        <f>+I392</f>
        <v>FY25</v>
      </c>
      <c r="J395" s="908" t="str">
        <f>+J392</f>
        <v>FY26</v>
      </c>
      <c r="K395" s="423"/>
      <c r="M395" s="1515"/>
      <c r="AC395" s="1010"/>
      <c r="AD395" s="1011"/>
      <c r="AE395" s="1011"/>
      <c r="AF395" s="1011"/>
      <c r="AG395" s="1011"/>
      <c r="AH395" s="1011"/>
      <c r="AI395" s="1023"/>
    </row>
    <row r="396" spans="1:35">
      <c r="A396" s="826" t="s">
        <v>894</v>
      </c>
      <c r="B396" s="827"/>
      <c r="C396" s="423"/>
      <c r="D396" s="423"/>
      <c r="E396" s="423"/>
      <c r="F396" s="423"/>
      <c r="G396" s="423"/>
      <c r="H396" s="423"/>
      <c r="I396" s="423"/>
      <c r="J396" s="423"/>
      <c r="K396" s="423"/>
      <c r="AC396" s="1010"/>
      <c r="AD396" s="1011"/>
      <c r="AE396" s="1011"/>
      <c r="AF396" s="1011"/>
      <c r="AG396" s="1011"/>
      <c r="AH396" s="1011"/>
      <c r="AI396" s="1023"/>
    </row>
    <row r="397" spans="1:35">
      <c r="A397" s="826" t="s">
        <v>895</v>
      </c>
      <c r="B397" s="827"/>
      <c r="C397" s="423"/>
      <c r="D397" s="423"/>
      <c r="E397" s="423"/>
      <c r="F397" s="423"/>
      <c r="G397" s="423"/>
      <c r="H397" s="423"/>
      <c r="I397" s="423"/>
      <c r="J397" s="423"/>
      <c r="K397" s="423"/>
      <c r="AC397" s="1010"/>
      <c r="AD397" s="1011"/>
      <c r="AE397" s="1011"/>
      <c r="AF397" s="1011"/>
      <c r="AG397" s="1011"/>
      <c r="AH397" s="1011"/>
      <c r="AI397" s="1023"/>
    </row>
    <row r="398" spans="1:35" ht="14.4" thickBot="1">
      <c r="A398" s="848"/>
      <c r="B398" s="849"/>
      <c r="C398" s="442"/>
      <c r="D398" s="442"/>
      <c r="E398" s="442"/>
      <c r="F398" s="442"/>
      <c r="G398" s="442"/>
      <c r="H398" s="442"/>
      <c r="I398" s="442"/>
      <c r="J398" s="442"/>
      <c r="K398" s="442"/>
      <c r="AC398" s="1010"/>
      <c r="AD398" s="1011"/>
      <c r="AE398" s="1011"/>
      <c r="AF398" s="1011"/>
      <c r="AG398" s="1011"/>
      <c r="AH398" s="1011"/>
      <c r="AI398" s="1023"/>
    </row>
    <row r="399" spans="1:35">
      <c r="A399" s="750" t="s">
        <v>190</v>
      </c>
      <c r="B399" s="750" t="s">
        <v>190</v>
      </c>
      <c r="C399" s="319" t="s">
        <v>190</v>
      </c>
      <c r="D399" s="319" t="s">
        <v>190</v>
      </c>
      <c r="E399" s="319" t="s">
        <v>190</v>
      </c>
      <c r="F399" s="319" t="s">
        <v>190</v>
      </c>
      <c r="G399" s="319" t="s">
        <v>190</v>
      </c>
      <c r="H399" s="319" t="s">
        <v>190</v>
      </c>
      <c r="I399" s="319" t="s">
        <v>190</v>
      </c>
      <c r="J399" s="319" t="s">
        <v>190</v>
      </c>
      <c r="K399" s="319" t="s">
        <v>190</v>
      </c>
      <c r="AC399" s="1010"/>
      <c r="AD399" s="1011"/>
      <c r="AE399" s="1011"/>
      <c r="AF399" s="1011"/>
      <c r="AG399" s="1011"/>
      <c r="AH399" s="1011"/>
      <c r="AI399" s="1023"/>
    </row>
    <row r="400" spans="1:35">
      <c r="A400" s="750"/>
      <c r="B400" s="750"/>
      <c r="C400" s="319"/>
      <c r="D400" s="319"/>
      <c r="E400" s="319"/>
      <c r="F400" s="319"/>
      <c r="G400" s="319"/>
      <c r="H400" s="319"/>
      <c r="I400" s="319"/>
      <c r="J400" s="319"/>
      <c r="K400" s="319"/>
      <c r="AC400" s="1010"/>
      <c r="AD400" s="1011"/>
      <c r="AE400" s="1011"/>
      <c r="AF400" s="1011"/>
      <c r="AG400" s="1011"/>
      <c r="AH400" s="1011"/>
      <c r="AI400" s="1023"/>
    </row>
    <row r="401" spans="1:35">
      <c r="A401" s="750"/>
      <c r="B401" s="750"/>
      <c r="C401" s="319"/>
      <c r="D401" s="319"/>
      <c r="E401" s="319"/>
      <c r="F401" s="319"/>
      <c r="G401" s="319"/>
      <c r="H401" s="319"/>
      <c r="I401" s="319"/>
      <c r="J401" s="319"/>
      <c r="K401" s="319"/>
      <c r="AC401" s="1010"/>
      <c r="AD401" s="1011"/>
      <c r="AE401" s="1011"/>
      <c r="AF401" s="1011"/>
      <c r="AG401" s="1011"/>
      <c r="AH401" s="1011"/>
      <c r="AI401" s="1023"/>
    </row>
    <row r="402" spans="1:35">
      <c r="A402" s="750"/>
      <c r="B402" s="750"/>
      <c r="C402" s="319"/>
      <c r="D402" s="319"/>
      <c r="E402" s="319"/>
      <c r="F402" s="319"/>
      <c r="G402" s="319"/>
      <c r="H402" s="319"/>
      <c r="I402" s="319"/>
      <c r="J402" s="319"/>
      <c r="K402" s="319"/>
      <c r="AC402" s="1010"/>
      <c r="AD402" s="1011"/>
      <c r="AE402" s="1011"/>
      <c r="AF402" s="1011"/>
      <c r="AG402" s="1011"/>
      <c r="AH402" s="1011"/>
      <c r="AI402" s="1023"/>
    </row>
    <row r="403" spans="1:35">
      <c r="A403" s="750"/>
      <c r="B403" s="750"/>
      <c r="C403" s="319"/>
      <c r="D403" s="319"/>
      <c r="E403" s="319"/>
      <c r="F403" s="319"/>
      <c r="G403" s="319"/>
      <c r="H403" s="319"/>
      <c r="I403" s="319"/>
      <c r="J403" s="319"/>
      <c r="K403" s="319"/>
      <c r="AC403" s="1010"/>
      <c r="AD403" s="1011"/>
      <c r="AE403" s="1011"/>
      <c r="AF403" s="1011"/>
      <c r="AG403" s="1011"/>
      <c r="AH403" s="1011"/>
      <c r="AI403" s="1023"/>
    </row>
    <row r="404" spans="1:35">
      <c r="A404" s="750"/>
      <c r="B404" s="750"/>
      <c r="C404" s="319"/>
      <c r="D404" s="319"/>
      <c r="E404" s="319"/>
      <c r="F404" s="319"/>
      <c r="G404" s="319"/>
      <c r="H404" s="319"/>
      <c r="I404" s="319"/>
      <c r="J404" s="319"/>
      <c r="K404" s="319"/>
      <c r="AC404" s="1010"/>
      <c r="AD404" s="1011"/>
      <c r="AE404" s="1011"/>
      <c r="AF404" s="1011"/>
      <c r="AG404" s="1011"/>
      <c r="AH404" s="1011"/>
      <c r="AI404" s="1023"/>
    </row>
    <row r="405" spans="1:35">
      <c r="A405" s="750"/>
      <c r="B405" s="750"/>
      <c r="C405" s="319"/>
      <c r="D405" s="319"/>
      <c r="E405" s="319"/>
      <c r="F405" s="319"/>
      <c r="G405" s="319"/>
      <c r="H405" s="319"/>
      <c r="I405" s="319"/>
      <c r="J405" s="319"/>
      <c r="K405" s="319"/>
      <c r="AC405" s="1010"/>
      <c r="AD405" s="1011"/>
      <c r="AE405" s="1011"/>
      <c r="AF405" s="1011"/>
      <c r="AG405" s="1011"/>
      <c r="AH405" s="1011"/>
      <c r="AI405" s="1023"/>
    </row>
    <row r="406" spans="1:35">
      <c r="A406" s="750"/>
      <c r="B406" s="750"/>
      <c r="C406" s="319"/>
      <c r="D406" s="319"/>
      <c r="E406" s="319"/>
      <c r="F406" s="319"/>
      <c r="G406" s="319"/>
      <c r="H406" s="319"/>
      <c r="I406" s="319"/>
      <c r="J406" s="319"/>
      <c r="AC406" s="1010"/>
      <c r="AD406" s="1011"/>
      <c r="AE406" s="1011"/>
      <c r="AF406" s="1011"/>
      <c r="AG406" s="1011"/>
      <c r="AH406" s="1011"/>
      <c r="AI406" s="1023"/>
    </row>
    <row r="407" spans="1:35">
      <c r="A407" s="750"/>
      <c r="B407" s="750"/>
      <c r="C407" s="319"/>
      <c r="D407" s="319"/>
      <c r="E407" s="319"/>
      <c r="F407" s="319"/>
      <c r="G407" s="319"/>
      <c r="H407" s="319"/>
      <c r="I407" s="319"/>
      <c r="J407" s="319"/>
      <c r="AC407" s="1010"/>
      <c r="AD407" s="1011"/>
      <c r="AE407" s="1011"/>
      <c r="AF407" s="1011"/>
      <c r="AG407" s="1011"/>
      <c r="AH407" s="1011"/>
      <c r="AI407" s="1023"/>
    </row>
    <row r="408" spans="1:35">
      <c r="AC408" s="1010"/>
      <c r="AD408" s="1011"/>
      <c r="AE408" s="1011"/>
      <c r="AF408" s="1011"/>
      <c r="AG408" s="1011"/>
      <c r="AH408" s="1011"/>
      <c r="AI408" s="1023"/>
    </row>
    <row r="409" spans="1:35">
      <c r="AC409" s="1010"/>
      <c r="AD409" s="1011"/>
      <c r="AE409" s="1011"/>
      <c r="AF409" s="1011"/>
      <c r="AG409" s="1011"/>
      <c r="AH409" s="1011"/>
      <c r="AI409" s="1023"/>
    </row>
    <row r="410" spans="1:35">
      <c r="AC410" s="1010"/>
      <c r="AD410" s="1011"/>
      <c r="AE410" s="1011"/>
      <c r="AF410" s="1011"/>
      <c r="AG410" s="1011"/>
      <c r="AH410" s="1011"/>
      <c r="AI410" s="1023"/>
    </row>
    <row r="411" spans="1:35">
      <c r="AC411" s="1010"/>
      <c r="AD411" s="1011"/>
      <c r="AE411" s="1011"/>
      <c r="AF411" s="1011"/>
      <c r="AG411" s="1011"/>
      <c r="AH411" s="1011"/>
      <c r="AI411" s="1023"/>
    </row>
    <row r="412" spans="1:35">
      <c r="AC412" s="1010"/>
      <c r="AD412" s="1011"/>
      <c r="AE412" s="1011"/>
      <c r="AF412" s="1011"/>
      <c r="AG412" s="1011"/>
      <c r="AH412" s="1011"/>
    </row>
  </sheetData>
  <sortState ref="A330:J333">
    <sortCondition descending="1" ref="E330:E333"/>
  </sortState>
  <phoneticPr fontId="0" type="noConversion"/>
  <pageMargins left="0.45" right="0.2" top="0.5" bottom="0.76" header="0.25" footer="0.49"/>
  <pageSetup scale="69" fitToHeight="0" orientation="landscape" horizontalDpi="300" verticalDpi="300" r:id="rId1"/>
  <headerFooter alignWithMargins="0">
    <oddFooter>Page &amp;P</oddFooter>
  </headerFooter>
  <ignoredErrors>
    <ignoredError sqref="AC320 AD320:AH321 AC180 AD136:AH138 AD390:AH390 AD378:AH378 AD370:AH374 AD366:AH366 AD357:AH360 AD341:AH348 AD336:AH337 AD329:AH332 AD309:AH312 AD296:AH301 AD280:AH282 AD187:AH191 AD170:AH171 AD166:AH166 AD151:AH162 AD67:AH70 AD53:AH55 AD45:AH47 AD38:AH39 AD228:AH269 AD23:AH24 AC318 AD278:AH278 AD207:AH226 AD204:AH204 AD59:AH61 AD28:AH34 AD176:AH178 AC313 AC314 AC315 AC316 AC317" calculatedColumn="1"/>
    <ignoredError sqref="F143:I143 E303:I303 F305:I305 F142:I142 H304:I304" 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rgb="FF92D050"/>
  </sheetPr>
  <dimension ref="A1:U239"/>
  <sheetViews>
    <sheetView topLeftCell="P99" workbookViewId="0">
      <selection activeCell="U8" sqref="U8"/>
    </sheetView>
  </sheetViews>
  <sheetFormatPr defaultColWidth="9.109375" defaultRowHeight="13.2"/>
  <cols>
    <col min="1" max="1" width="10.44140625" style="151" customWidth="1"/>
    <col min="2" max="9" width="9.109375" style="151"/>
    <col min="10" max="10" width="20" style="151" customWidth="1"/>
    <col min="11" max="12" width="18.6640625" style="151" customWidth="1"/>
    <col min="13" max="21" width="18.6640625" style="151" bestFit="1" customWidth="1"/>
    <col min="22" max="16384" width="9.109375" style="151"/>
  </cols>
  <sheetData>
    <row r="1" spans="1:21" ht="14.4" hidden="1">
      <c r="A1" s="196"/>
      <c r="B1" s="196" t="s">
        <v>250</v>
      </c>
      <c r="C1" s="196"/>
      <c r="D1" s="196"/>
      <c r="E1" s="196"/>
      <c r="F1" s="196"/>
      <c r="G1" s="196"/>
      <c r="H1" s="196"/>
      <c r="I1" s="196"/>
      <c r="J1" s="196"/>
      <c r="K1" s="196"/>
    </row>
    <row r="2" spans="1:21" ht="14.4" hidden="1">
      <c r="A2" s="196"/>
      <c r="B2" s="196" t="s">
        <v>308</v>
      </c>
      <c r="C2" s="196"/>
      <c r="D2" s="196"/>
      <c r="E2" s="196"/>
      <c r="F2" s="196"/>
      <c r="G2" s="196"/>
      <c r="H2" s="196"/>
      <c r="I2" s="196"/>
      <c r="J2" s="196"/>
      <c r="K2" s="196"/>
    </row>
    <row r="3" spans="1:21" ht="14.4" hidden="1">
      <c r="A3" s="196"/>
      <c r="B3" s="196" t="s">
        <v>498</v>
      </c>
      <c r="C3" s="196"/>
      <c r="D3" s="196"/>
      <c r="E3" s="196"/>
      <c r="F3" s="196"/>
      <c r="G3" s="196"/>
      <c r="H3" s="196"/>
      <c r="I3" s="196"/>
      <c r="J3" s="196"/>
      <c r="K3" s="196"/>
    </row>
    <row r="4" spans="1:21" ht="14.4" hidden="1">
      <c r="A4" s="196"/>
      <c r="B4" s="196" t="s">
        <v>839</v>
      </c>
      <c r="C4" s="196"/>
      <c r="D4" s="196"/>
      <c r="E4" s="196"/>
      <c r="F4" s="196"/>
      <c r="G4" s="196"/>
      <c r="H4" s="196"/>
      <c r="I4" s="196"/>
      <c r="J4" s="196"/>
      <c r="K4" s="196"/>
    </row>
    <row r="5" spans="1:21" ht="14.4" hidden="1">
      <c r="A5" s="196"/>
      <c r="B5" s="606" t="s">
        <v>887</v>
      </c>
      <c r="C5" s="606"/>
      <c r="D5" s="606"/>
      <c r="E5" s="196"/>
      <c r="F5" s="196"/>
      <c r="G5" s="196"/>
      <c r="H5" s="196"/>
      <c r="I5" s="196"/>
      <c r="J5" s="196"/>
      <c r="K5" s="196"/>
    </row>
    <row r="6" spans="1:21" ht="14.4" hidden="1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</row>
    <row r="7" spans="1:21" ht="14.4" hidden="1">
      <c r="A7" s="196" t="s">
        <v>499</v>
      </c>
      <c r="B7" s="196"/>
      <c r="C7" s="183">
        <v>49452</v>
      </c>
      <c r="D7" s="196"/>
      <c r="E7" s="196"/>
      <c r="F7" s="196"/>
      <c r="G7" s="196"/>
      <c r="H7" s="196"/>
      <c r="I7" s="196"/>
      <c r="J7" s="196"/>
      <c r="K7" s="196"/>
      <c r="L7" s="450" t="s">
        <v>840</v>
      </c>
      <c r="M7" s="607" t="s">
        <v>898</v>
      </c>
      <c r="N7" s="608" t="s">
        <v>906</v>
      </c>
      <c r="O7" s="608"/>
      <c r="P7" s="608"/>
      <c r="Q7" s="608"/>
      <c r="R7" s="608"/>
      <c r="S7" s="608"/>
      <c r="T7" s="608"/>
      <c r="U7" s="608"/>
    </row>
    <row r="8" spans="1:21" ht="25.8" hidden="1">
      <c r="A8" s="196" t="s">
        <v>500</v>
      </c>
      <c r="B8" s="196"/>
      <c r="C8" s="196" t="s">
        <v>933</v>
      </c>
      <c r="D8" s="196"/>
      <c r="E8" s="196"/>
      <c r="F8" s="196" t="s">
        <v>841</v>
      </c>
      <c r="G8" s="196"/>
      <c r="H8" s="196"/>
      <c r="I8" s="196"/>
      <c r="J8" s="196"/>
      <c r="K8" s="196"/>
      <c r="L8" s="451">
        <v>2017</v>
      </c>
      <c r="M8" s="609">
        <v>2018</v>
      </c>
      <c r="N8" s="609">
        <v>2019</v>
      </c>
      <c r="O8" s="609">
        <v>2020</v>
      </c>
      <c r="P8" s="609">
        <v>2021</v>
      </c>
      <c r="Q8" s="609">
        <v>2022</v>
      </c>
      <c r="R8" s="609">
        <v>2023</v>
      </c>
      <c r="S8" s="609">
        <v>2024</v>
      </c>
      <c r="T8" s="609">
        <v>2024</v>
      </c>
      <c r="U8" s="609">
        <v>2026</v>
      </c>
    </row>
    <row r="9" spans="1:21" ht="14.4" hidden="1">
      <c r="A9" s="196"/>
      <c r="B9" s="196"/>
      <c r="C9" s="196"/>
      <c r="D9" s="196"/>
      <c r="E9" s="196"/>
      <c r="F9" s="196"/>
      <c r="G9" s="196"/>
      <c r="H9" s="196"/>
      <c r="I9" s="196"/>
      <c r="J9" s="196"/>
      <c r="K9" s="196"/>
    </row>
    <row r="10" spans="1:21" ht="14.4" hidden="1">
      <c r="A10" s="636" t="s">
        <v>551</v>
      </c>
      <c r="B10" s="636"/>
      <c r="C10" s="636"/>
      <c r="D10" s="636"/>
      <c r="E10" s="636"/>
      <c r="F10" s="636"/>
      <c r="G10" s="636"/>
      <c r="H10" s="636"/>
      <c r="I10" s="636"/>
      <c r="J10" s="636"/>
      <c r="K10" s="196" t="s">
        <v>502</v>
      </c>
      <c r="L10" s="196"/>
      <c r="M10" s="196"/>
      <c r="N10" s="196"/>
      <c r="O10" s="196"/>
      <c r="P10" s="196"/>
      <c r="Q10" s="196"/>
      <c r="R10" s="196"/>
      <c r="S10" s="196"/>
      <c r="T10" s="196"/>
      <c r="U10" s="196"/>
    </row>
    <row r="11" spans="1:21" ht="14.4" hidden="1">
      <c r="A11" s="636" t="s">
        <v>553</v>
      </c>
      <c r="B11" s="636" t="s">
        <v>842</v>
      </c>
      <c r="C11" s="636"/>
      <c r="D11" s="636"/>
      <c r="E11" s="636"/>
      <c r="F11" s="636"/>
      <c r="G11" s="636"/>
      <c r="H11" s="636"/>
      <c r="I11" s="636"/>
      <c r="J11" s="636"/>
      <c r="K11" s="196"/>
      <c r="L11" s="187">
        <v>1707441.51</v>
      </c>
      <c r="M11" s="187">
        <v>1707084.96</v>
      </c>
      <c r="N11" s="187">
        <v>1659012.83</v>
      </c>
      <c r="O11" s="187">
        <f t="shared" ref="O11:U11" si="0">N11</f>
        <v>1659012.83</v>
      </c>
      <c r="P11" s="187">
        <f t="shared" si="0"/>
        <v>1659012.83</v>
      </c>
      <c r="Q11" s="187">
        <f t="shared" si="0"/>
        <v>1659012.83</v>
      </c>
      <c r="R11" s="187">
        <f t="shared" si="0"/>
        <v>1659012.83</v>
      </c>
      <c r="S11" s="187">
        <f t="shared" si="0"/>
        <v>1659012.83</v>
      </c>
      <c r="T11" s="187">
        <f t="shared" si="0"/>
        <v>1659012.83</v>
      </c>
      <c r="U11" s="187">
        <f t="shared" si="0"/>
        <v>1659012.83</v>
      </c>
    </row>
    <row r="12" spans="1:21" ht="14.4" hidden="1">
      <c r="A12" s="636" t="s">
        <v>554</v>
      </c>
      <c r="B12" s="636" t="s">
        <v>843</v>
      </c>
      <c r="C12" s="636"/>
      <c r="D12" s="636"/>
      <c r="E12" s="636"/>
      <c r="F12" s="636"/>
      <c r="G12" s="636"/>
      <c r="H12" s="636"/>
      <c r="I12" s="636"/>
      <c r="J12" s="636"/>
      <c r="K12" s="196"/>
      <c r="L12" s="187">
        <v>1674706.44</v>
      </c>
      <c r="M12" s="187">
        <v>1666214.55</v>
      </c>
      <c r="N12" s="187">
        <v>1666214.55</v>
      </c>
      <c r="O12" s="187">
        <f t="shared" ref="O12:U17" si="1">N12</f>
        <v>1666214.55</v>
      </c>
      <c r="P12" s="187">
        <f t="shared" si="1"/>
        <v>1666214.55</v>
      </c>
      <c r="Q12" s="187">
        <f t="shared" si="1"/>
        <v>1666214.55</v>
      </c>
      <c r="R12" s="187">
        <f t="shared" si="1"/>
        <v>1666214.55</v>
      </c>
      <c r="S12" s="187">
        <f t="shared" si="1"/>
        <v>1666214.55</v>
      </c>
      <c r="T12" s="187">
        <f t="shared" si="1"/>
        <v>1666214.55</v>
      </c>
      <c r="U12" s="187">
        <f t="shared" si="1"/>
        <v>1666214.55</v>
      </c>
    </row>
    <row r="13" spans="1:21" ht="14.4" hidden="1">
      <c r="A13" s="636" t="s">
        <v>555</v>
      </c>
      <c r="B13" s="636" t="s">
        <v>624</v>
      </c>
      <c r="C13" s="636"/>
      <c r="D13" s="636"/>
      <c r="E13" s="636"/>
      <c r="F13" s="636"/>
      <c r="G13" s="636"/>
      <c r="H13" s="636"/>
      <c r="I13" s="636"/>
      <c r="J13" s="636"/>
      <c r="K13" s="196"/>
      <c r="L13" s="180">
        <v>0.49278403199999998</v>
      </c>
      <c r="M13" s="180">
        <v>0.48689669499999999</v>
      </c>
      <c r="N13" s="180">
        <v>0.48181532500000002</v>
      </c>
      <c r="O13" s="180">
        <v>0.42551502099999999</v>
      </c>
      <c r="P13" s="180">
        <v>0.42551502099999999</v>
      </c>
      <c r="Q13" s="180">
        <f t="shared" si="1"/>
        <v>0.42551502099999999</v>
      </c>
      <c r="R13" s="180">
        <f t="shared" si="1"/>
        <v>0.42551502099999999</v>
      </c>
      <c r="S13" s="180">
        <f t="shared" si="1"/>
        <v>0.42551502099999999</v>
      </c>
      <c r="T13" s="180">
        <f t="shared" si="1"/>
        <v>0.42551502099999999</v>
      </c>
      <c r="U13" s="180">
        <f t="shared" si="1"/>
        <v>0.42551502099999999</v>
      </c>
    </row>
    <row r="14" spans="1:21" ht="14.4" hidden="1">
      <c r="A14" s="636" t="s">
        <v>556</v>
      </c>
      <c r="B14" s="636" t="s">
        <v>844</v>
      </c>
      <c r="C14" s="636"/>
      <c r="D14" s="636"/>
      <c r="E14" s="636"/>
      <c r="F14" s="636"/>
      <c r="G14" s="636"/>
      <c r="H14" s="636"/>
      <c r="I14" s="636"/>
      <c r="J14" s="636"/>
      <c r="K14" s="196"/>
      <c r="L14" s="187">
        <v>32873</v>
      </c>
      <c r="M14" s="187">
        <v>33782</v>
      </c>
      <c r="N14" s="187">
        <v>33782</v>
      </c>
      <c r="O14" s="187">
        <f t="shared" si="1"/>
        <v>33782</v>
      </c>
      <c r="P14" s="187">
        <f t="shared" si="1"/>
        <v>33782</v>
      </c>
      <c r="Q14" s="187">
        <f t="shared" si="1"/>
        <v>33782</v>
      </c>
      <c r="R14" s="187">
        <f t="shared" si="1"/>
        <v>33782</v>
      </c>
      <c r="S14" s="187">
        <f t="shared" si="1"/>
        <v>33782</v>
      </c>
      <c r="T14" s="187">
        <f t="shared" si="1"/>
        <v>33782</v>
      </c>
      <c r="U14" s="187">
        <f t="shared" si="1"/>
        <v>33782</v>
      </c>
    </row>
    <row r="15" spans="1:21" ht="14.4" hidden="1">
      <c r="A15" s="636" t="s">
        <v>557</v>
      </c>
      <c r="B15" s="636" t="s">
        <v>845</v>
      </c>
      <c r="C15" s="636"/>
      <c r="D15" s="636"/>
      <c r="E15" s="636"/>
      <c r="F15" s="636"/>
      <c r="G15" s="636"/>
      <c r="H15" s="636"/>
      <c r="I15" s="636"/>
      <c r="J15" s="636"/>
      <c r="K15" s="196"/>
      <c r="L15" s="187">
        <v>243269322199</v>
      </c>
      <c r="M15" s="187">
        <v>248482200687</v>
      </c>
      <c r="N15" s="187">
        <v>255372754174</v>
      </c>
      <c r="O15" s="187">
        <v>264262151321</v>
      </c>
      <c r="P15" s="187">
        <f t="shared" si="1"/>
        <v>264262151321</v>
      </c>
      <c r="Q15" s="187">
        <f t="shared" si="1"/>
        <v>264262151321</v>
      </c>
      <c r="R15" s="187">
        <f t="shared" si="1"/>
        <v>264262151321</v>
      </c>
      <c r="S15" s="187">
        <f t="shared" si="1"/>
        <v>264262151321</v>
      </c>
      <c r="T15" s="187">
        <f t="shared" si="1"/>
        <v>264262151321</v>
      </c>
      <c r="U15" s="187">
        <f t="shared" si="1"/>
        <v>264262151321</v>
      </c>
    </row>
    <row r="16" spans="1:21" ht="14.4" hidden="1">
      <c r="A16" s="636" t="s">
        <v>558</v>
      </c>
      <c r="B16" s="636" t="s">
        <v>846</v>
      </c>
      <c r="C16" s="636"/>
      <c r="D16" s="636"/>
      <c r="E16" s="636"/>
      <c r="F16" s="636"/>
      <c r="G16" s="636"/>
      <c r="H16" s="636"/>
      <c r="I16" s="636"/>
      <c r="J16" s="636"/>
      <c r="K16" s="196"/>
      <c r="L16" s="187"/>
      <c r="M16" s="187">
        <v>1707084.96</v>
      </c>
      <c r="N16" s="187">
        <v>1707084.96</v>
      </c>
      <c r="O16" s="187">
        <f t="shared" si="1"/>
        <v>1707084.96</v>
      </c>
      <c r="P16" s="187">
        <f t="shared" si="1"/>
        <v>1707084.96</v>
      </c>
      <c r="Q16" s="187">
        <f t="shared" si="1"/>
        <v>1707084.96</v>
      </c>
      <c r="R16" s="187">
        <f t="shared" si="1"/>
        <v>1707084.96</v>
      </c>
      <c r="S16" s="187">
        <f t="shared" si="1"/>
        <v>1707084.96</v>
      </c>
      <c r="T16" s="187">
        <f t="shared" si="1"/>
        <v>1707084.96</v>
      </c>
      <c r="U16" s="187">
        <f t="shared" si="1"/>
        <v>1707084.96</v>
      </c>
    </row>
    <row r="17" spans="1:21" ht="14.4" hidden="1">
      <c r="A17" s="636" t="s">
        <v>685</v>
      </c>
      <c r="B17" s="636" t="s">
        <v>847</v>
      </c>
      <c r="C17" s="636"/>
      <c r="D17" s="636"/>
      <c r="E17" s="636"/>
      <c r="F17" s="636"/>
      <c r="G17" s="636"/>
      <c r="H17" s="636"/>
      <c r="I17" s="636"/>
      <c r="J17" s="636"/>
      <c r="K17" s="196"/>
      <c r="L17" s="187">
        <v>301821145648</v>
      </c>
      <c r="M17" s="187">
        <v>309177184075</v>
      </c>
      <c r="N17" s="187">
        <v>317011065262</v>
      </c>
      <c r="O17" s="187">
        <v>326997848177</v>
      </c>
      <c r="P17" s="187">
        <f t="shared" si="1"/>
        <v>326997848177</v>
      </c>
      <c r="Q17" s="187">
        <f t="shared" si="1"/>
        <v>326997848177</v>
      </c>
      <c r="R17" s="187">
        <f t="shared" si="1"/>
        <v>326997848177</v>
      </c>
      <c r="S17" s="187">
        <f t="shared" si="1"/>
        <v>326997848177</v>
      </c>
      <c r="T17" s="187">
        <f t="shared" si="1"/>
        <v>326997848177</v>
      </c>
      <c r="U17" s="187">
        <f t="shared" si="1"/>
        <v>326997848177</v>
      </c>
    </row>
    <row r="18" spans="1:21" ht="14.4" hidden="1">
      <c r="A18" s="636" t="s">
        <v>552</v>
      </c>
      <c r="B18" s="636"/>
      <c r="C18" s="636"/>
      <c r="D18" s="636"/>
      <c r="E18" s="636"/>
      <c r="F18" s="636"/>
      <c r="G18" s="636"/>
      <c r="H18" s="636"/>
      <c r="I18" s="636"/>
      <c r="J18" s="636"/>
      <c r="K18" s="196"/>
    </row>
    <row r="19" spans="1:21" ht="15" hidden="1" thickBot="1">
      <c r="A19" s="636" t="s">
        <v>559</v>
      </c>
      <c r="B19" s="637" t="s">
        <v>675</v>
      </c>
      <c r="C19" s="637"/>
      <c r="D19" s="636"/>
      <c r="E19" s="636"/>
      <c r="F19" s="636"/>
      <c r="G19" s="636"/>
      <c r="H19" s="636"/>
      <c r="I19" s="638" t="s">
        <v>771</v>
      </c>
      <c r="J19" s="638"/>
      <c r="K19" s="443"/>
      <c r="L19" s="444"/>
      <c r="M19" s="444">
        <v>-62.960000000000036</v>
      </c>
      <c r="N19" s="444">
        <v>22.730000000000018</v>
      </c>
      <c r="O19" s="444">
        <f>3246.32-3309.79</f>
        <v>-63.4699999999998</v>
      </c>
      <c r="P19" s="444">
        <v>-10</v>
      </c>
      <c r="Q19" s="444">
        <v>-10</v>
      </c>
      <c r="R19" s="444">
        <v>-10</v>
      </c>
      <c r="S19" s="444">
        <v>-10</v>
      </c>
      <c r="T19" s="444">
        <v>-10</v>
      </c>
      <c r="U19" s="444">
        <v>-10</v>
      </c>
    </row>
    <row r="20" spans="1:21" ht="14.4" hidden="1">
      <c r="A20" s="636"/>
      <c r="B20" s="636" t="s">
        <v>560</v>
      </c>
      <c r="C20" s="636" t="s">
        <v>625</v>
      </c>
      <c r="D20" s="636"/>
      <c r="E20" s="636"/>
      <c r="F20" s="636"/>
      <c r="G20" s="636"/>
      <c r="H20" s="636"/>
      <c r="I20" s="636"/>
      <c r="J20" s="636"/>
      <c r="K20" s="196"/>
      <c r="L20" s="445">
        <v>3236.28</v>
      </c>
      <c r="M20" s="445">
        <v>3173.32</v>
      </c>
      <c r="N20" s="445">
        <v>3196.05</v>
      </c>
      <c r="O20" s="445">
        <f t="shared" ref="O20:Q20" si="2">+O21-(O22*0.5)</f>
        <v>3132.5800000000004</v>
      </c>
      <c r="P20" s="445">
        <f t="shared" si="2"/>
        <v>3122.5800000000004</v>
      </c>
      <c r="Q20" s="445">
        <f t="shared" si="2"/>
        <v>3112.5800000000004</v>
      </c>
      <c r="R20" s="445">
        <f>+R21-(R22*0.5)</f>
        <v>3102.5800000000004</v>
      </c>
      <c r="S20" s="445">
        <f>+S21-(S22*0.5)</f>
        <v>3092.5800000000004</v>
      </c>
      <c r="T20" s="445">
        <f>+T21-(T22*0.5)</f>
        <v>3082.5800000000004</v>
      </c>
      <c r="U20" s="445">
        <f>+U21-(U22*0.5)</f>
        <v>3072.5800000000004</v>
      </c>
    </row>
    <row r="21" spans="1:21" ht="14.4" hidden="1">
      <c r="A21" s="636"/>
      <c r="B21" s="636" t="s">
        <v>562</v>
      </c>
      <c r="C21" s="636" t="s">
        <v>623</v>
      </c>
      <c r="D21" s="636"/>
      <c r="E21" s="636"/>
      <c r="F21" s="636"/>
      <c r="G21" s="636"/>
      <c r="H21" s="636"/>
      <c r="I21" s="636"/>
      <c r="J21" s="636"/>
      <c r="L21" s="446">
        <v>3236.28</v>
      </c>
      <c r="M21" s="446">
        <v>3173.32</v>
      </c>
      <c r="N21" s="446">
        <v>3196.05</v>
      </c>
      <c r="O21" s="446">
        <f t="shared" ref="O21:U21" si="3">N21+O19</f>
        <v>3132.5800000000004</v>
      </c>
      <c r="P21" s="446">
        <f t="shared" si="3"/>
        <v>3122.5800000000004</v>
      </c>
      <c r="Q21" s="446">
        <f t="shared" si="3"/>
        <v>3112.5800000000004</v>
      </c>
      <c r="R21" s="446">
        <f t="shared" si="3"/>
        <v>3102.5800000000004</v>
      </c>
      <c r="S21" s="446">
        <f t="shared" si="3"/>
        <v>3092.5800000000004</v>
      </c>
      <c r="T21" s="446">
        <f t="shared" si="3"/>
        <v>3082.5800000000004</v>
      </c>
      <c r="U21" s="446">
        <f t="shared" si="3"/>
        <v>3072.5800000000004</v>
      </c>
    </row>
    <row r="22" spans="1:21" ht="14.4" hidden="1">
      <c r="A22" s="636"/>
      <c r="B22" s="636" t="s">
        <v>561</v>
      </c>
      <c r="C22" s="636" t="s">
        <v>622</v>
      </c>
      <c r="D22" s="636"/>
      <c r="E22" s="636"/>
      <c r="F22" s="636"/>
      <c r="G22" s="636"/>
      <c r="H22" s="636"/>
      <c r="I22" s="636"/>
      <c r="J22" s="636"/>
      <c r="L22" s="446">
        <v>0</v>
      </c>
      <c r="M22" s="446">
        <v>0</v>
      </c>
      <c r="N22" s="446">
        <v>0</v>
      </c>
      <c r="O22" s="446">
        <f t="shared" ref="O22:U24" si="4">+N22</f>
        <v>0</v>
      </c>
      <c r="P22" s="446">
        <f t="shared" si="4"/>
        <v>0</v>
      </c>
      <c r="Q22" s="446">
        <f t="shared" si="4"/>
        <v>0</v>
      </c>
      <c r="R22" s="446">
        <f t="shared" si="4"/>
        <v>0</v>
      </c>
      <c r="S22" s="446">
        <f t="shared" si="4"/>
        <v>0</v>
      </c>
      <c r="T22" s="446">
        <f t="shared" si="4"/>
        <v>0</v>
      </c>
      <c r="U22" s="446">
        <f t="shared" si="4"/>
        <v>0</v>
      </c>
    </row>
    <row r="23" spans="1:21" ht="14.4" hidden="1">
      <c r="A23" s="636"/>
      <c r="B23" s="636" t="s">
        <v>563</v>
      </c>
      <c r="C23" s="636" t="s">
        <v>621</v>
      </c>
      <c r="D23" s="636"/>
      <c r="E23" s="636"/>
      <c r="F23" s="636"/>
      <c r="G23" s="636"/>
      <c r="H23" s="636"/>
      <c r="I23" s="636"/>
      <c r="J23" s="636"/>
      <c r="L23" s="446">
        <v>0</v>
      </c>
      <c r="M23" s="446">
        <v>0</v>
      </c>
      <c r="N23" s="446">
        <v>0</v>
      </c>
      <c r="O23" s="446">
        <v>98.66</v>
      </c>
      <c r="P23" s="446">
        <f t="shared" si="4"/>
        <v>98.66</v>
      </c>
      <c r="Q23" s="446">
        <f t="shared" si="4"/>
        <v>98.66</v>
      </c>
      <c r="R23" s="446">
        <f t="shared" si="4"/>
        <v>98.66</v>
      </c>
      <c r="S23" s="446">
        <f t="shared" si="4"/>
        <v>98.66</v>
      </c>
      <c r="T23" s="446">
        <f t="shared" si="4"/>
        <v>98.66</v>
      </c>
      <c r="U23" s="446">
        <f t="shared" si="4"/>
        <v>98.66</v>
      </c>
    </row>
    <row r="24" spans="1:21" ht="14.4" hidden="1">
      <c r="A24" s="636"/>
      <c r="B24" s="636" t="s">
        <v>564</v>
      </c>
      <c r="C24" s="636" t="s">
        <v>686</v>
      </c>
      <c r="D24" s="636"/>
      <c r="E24" s="636"/>
      <c r="F24" s="636"/>
      <c r="G24" s="636"/>
      <c r="H24" s="636"/>
      <c r="I24" s="636"/>
      <c r="J24" s="636"/>
      <c r="L24" s="446">
        <v>0</v>
      </c>
      <c r="M24" s="446">
        <v>0</v>
      </c>
      <c r="N24" s="446">
        <v>1</v>
      </c>
      <c r="O24" s="446">
        <v>0</v>
      </c>
      <c r="P24" s="446">
        <f t="shared" si="4"/>
        <v>0</v>
      </c>
      <c r="Q24" s="446">
        <f t="shared" si="4"/>
        <v>0</v>
      </c>
      <c r="R24" s="446">
        <f t="shared" si="4"/>
        <v>0</v>
      </c>
      <c r="S24" s="446">
        <f t="shared" si="4"/>
        <v>0</v>
      </c>
      <c r="T24" s="446">
        <f t="shared" si="4"/>
        <v>0</v>
      </c>
      <c r="U24" s="446">
        <f t="shared" si="4"/>
        <v>0</v>
      </c>
    </row>
    <row r="25" spans="1:21" ht="14.4" hidden="1">
      <c r="A25" s="636"/>
      <c r="B25" s="636" t="s">
        <v>687</v>
      </c>
      <c r="C25" s="636" t="s">
        <v>688</v>
      </c>
      <c r="D25" s="636"/>
      <c r="E25" s="636"/>
      <c r="F25" s="636"/>
      <c r="G25" s="636"/>
      <c r="H25" s="636"/>
      <c r="I25" s="636"/>
      <c r="J25" s="636"/>
      <c r="K25" s="196"/>
      <c r="L25" s="445">
        <v>3236.28</v>
      </c>
      <c r="M25" s="445">
        <v>3173.32</v>
      </c>
      <c r="N25" s="445">
        <v>3196.25</v>
      </c>
      <c r="O25" s="445">
        <f t="shared" ref="O25:Q25" si="5">(+O20-(0.8*O23)+(0.2*O24))</f>
        <v>3053.6520000000005</v>
      </c>
      <c r="P25" s="445">
        <f t="shared" si="5"/>
        <v>3043.6520000000005</v>
      </c>
      <c r="Q25" s="445">
        <f t="shared" si="5"/>
        <v>3033.6520000000005</v>
      </c>
      <c r="R25" s="445">
        <f>(+R20-(0.8*R23)+(0.2*R24))</f>
        <v>3023.6520000000005</v>
      </c>
      <c r="S25" s="445">
        <f>(+S20-(0.8*S23)+(0.2*S24))</f>
        <v>3013.6520000000005</v>
      </c>
      <c r="T25" s="445">
        <f>(+T20-(0.8*T23)+(0.2*T24))</f>
        <v>3003.6520000000005</v>
      </c>
      <c r="U25" s="445">
        <f>(+U20-(0.8*U23)+(0.2*U24))</f>
        <v>2993.6520000000005</v>
      </c>
    </row>
    <row r="26" spans="1:21" ht="14.4" hidden="1">
      <c r="A26" s="636" t="s">
        <v>565</v>
      </c>
      <c r="B26" s="636" t="s">
        <v>572</v>
      </c>
      <c r="C26" s="636"/>
      <c r="D26" s="636"/>
      <c r="E26" s="636"/>
      <c r="F26" s="636"/>
      <c r="G26" s="636"/>
      <c r="H26" s="636"/>
      <c r="I26" s="636"/>
      <c r="J26" s="636"/>
      <c r="K26" s="196"/>
      <c r="L26" s="158" t="s">
        <v>250</v>
      </c>
      <c r="M26" s="158"/>
      <c r="N26" s="158"/>
      <c r="O26" s="158"/>
      <c r="P26" s="158"/>
      <c r="Q26" s="158"/>
      <c r="R26" s="158"/>
      <c r="S26" s="158"/>
      <c r="T26" s="158"/>
      <c r="U26" s="158"/>
    </row>
    <row r="27" spans="1:21" ht="14.4" hidden="1">
      <c r="A27" s="636"/>
      <c r="B27" s="636" t="s">
        <v>566</v>
      </c>
      <c r="C27" s="636" t="s">
        <v>626</v>
      </c>
      <c r="D27" s="636"/>
      <c r="E27" s="636"/>
      <c r="F27" s="636"/>
      <c r="G27" s="636"/>
      <c r="H27" s="636"/>
      <c r="I27" s="636"/>
      <c r="J27" s="636"/>
      <c r="K27" s="196"/>
      <c r="L27" s="446">
        <v>68.36</v>
      </c>
      <c r="M27" s="446">
        <v>66.930000000000007</v>
      </c>
      <c r="N27" s="446">
        <v>81.02</v>
      </c>
      <c r="O27" s="446">
        <v>43</v>
      </c>
      <c r="P27" s="446">
        <f t="shared" ref="P27:U32" si="6">+O27</f>
        <v>43</v>
      </c>
      <c r="Q27" s="446">
        <f t="shared" si="6"/>
        <v>43</v>
      </c>
      <c r="R27" s="446">
        <f t="shared" si="6"/>
        <v>43</v>
      </c>
      <c r="S27" s="446">
        <f t="shared" si="6"/>
        <v>43</v>
      </c>
      <c r="T27" s="446">
        <f t="shared" si="6"/>
        <v>43</v>
      </c>
      <c r="U27" s="446">
        <f t="shared" si="6"/>
        <v>43</v>
      </c>
    </row>
    <row r="28" spans="1:21" ht="14.4" hidden="1">
      <c r="A28" s="636"/>
      <c r="B28" s="636" t="s">
        <v>567</v>
      </c>
      <c r="C28" s="636" t="s">
        <v>627</v>
      </c>
      <c r="D28" s="636"/>
      <c r="E28" s="636"/>
      <c r="F28" s="636"/>
      <c r="G28" s="636"/>
      <c r="H28" s="636"/>
      <c r="I28" s="636"/>
      <c r="J28" s="636"/>
      <c r="K28" s="196"/>
      <c r="L28" s="446">
        <v>275.44</v>
      </c>
      <c r="M28" s="446">
        <v>265.33</v>
      </c>
      <c r="N28" s="446">
        <v>281.99</v>
      </c>
      <c r="O28" s="446">
        <v>187.97</v>
      </c>
      <c r="P28" s="446">
        <f t="shared" si="6"/>
        <v>187.97</v>
      </c>
      <c r="Q28" s="446">
        <f t="shared" si="6"/>
        <v>187.97</v>
      </c>
      <c r="R28" s="446">
        <f t="shared" si="6"/>
        <v>187.97</v>
      </c>
      <c r="S28" s="446">
        <f t="shared" si="6"/>
        <v>187.97</v>
      </c>
      <c r="T28" s="446">
        <f t="shared" si="6"/>
        <v>187.97</v>
      </c>
      <c r="U28" s="446">
        <f t="shared" si="6"/>
        <v>187.97</v>
      </c>
    </row>
    <row r="29" spans="1:21" ht="14.4" hidden="1">
      <c r="A29" s="636"/>
      <c r="B29" s="636" t="s">
        <v>568</v>
      </c>
      <c r="C29" s="636" t="s">
        <v>628</v>
      </c>
      <c r="D29" s="636"/>
      <c r="E29" s="636"/>
      <c r="F29" s="636"/>
      <c r="G29" s="636"/>
      <c r="H29" s="636"/>
      <c r="I29" s="636"/>
      <c r="J29" s="636"/>
      <c r="K29" s="196"/>
      <c r="L29" s="446">
        <v>30.19</v>
      </c>
      <c r="M29" s="446">
        <v>28.99</v>
      </c>
      <c r="N29" s="446">
        <v>30.28</v>
      </c>
      <c r="O29" s="446">
        <v>14</v>
      </c>
      <c r="P29" s="446">
        <f t="shared" si="6"/>
        <v>14</v>
      </c>
      <c r="Q29" s="446">
        <f t="shared" si="6"/>
        <v>14</v>
      </c>
      <c r="R29" s="446">
        <f t="shared" si="6"/>
        <v>14</v>
      </c>
      <c r="S29" s="446">
        <f t="shared" si="6"/>
        <v>14</v>
      </c>
      <c r="T29" s="446">
        <f t="shared" si="6"/>
        <v>14</v>
      </c>
      <c r="U29" s="446">
        <f t="shared" si="6"/>
        <v>14</v>
      </c>
    </row>
    <row r="30" spans="1:21" ht="14.4" hidden="1">
      <c r="A30" s="636"/>
      <c r="B30" s="636" t="s">
        <v>569</v>
      </c>
      <c r="C30" s="636" t="s">
        <v>629</v>
      </c>
      <c r="D30" s="636"/>
      <c r="E30" s="636"/>
      <c r="F30" s="636"/>
      <c r="G30" s="636"/>
      <c r="H30" s="636"/>
      <c r="I30" s="636"/>
      <c r="J30" s="636"/>
      <c r="K30" s="196"/>
      <c r="L30" s="446">
        <v>2.08</v>
      </c>
      <c r="M30" s="446">
        <v>2.96</v>
      </c>
      <c r="N30" s="446">
        <v>5.61</v>
      </c>
      <c r="O30" s="446">
        <v>3</v>
      </c>
      <c r="P30" s="446">
        <f t="shared" si="6"/>
        <v>3</v>
      </c>
      <c r="Q30" s="446">
        <f t="shared" si="6"/>
        <v>3</v>
      </c>
      <c r="R30" s="446">
        <f t="shared" si="6"/>
        <v>3</v>
      </c>
      <c r="S30" s="446">
        <f t="shared" si="6"/>
        <v>3</v>
      </c>
      <c r="T30" s="446">
        <f t="shared" si="6"/>
        <v>3</v>
      </c>
      <c r="U30" s="446">
        <f t="shared" si="6"/>
        <v>3</v>
      </c>
    </row>
    <row r="31" spans="1:21" ht="14.4" hidden="1">
      <c r="A31" s="636"/>
      <c r="B31" s="636" t="s">
        <v>570</v>
      </c>
      <c r="C31" s="636" t="s">
        <v>630</v>
      </c>
      <c r="D31" s="636"/>
      <c r="E31" s="636"/>
      <c r="F31" s="636"/>
      <c r="G31" s="636"/>
      <c r="H31" s="636"/>
      <c r="I31" s="636"/>
      <c r="J31" s="636"/>
      <c r="K31" s="196"/>
      <c r="L31" s="446">
        <v>29.54</v>
      </c>
      <c r="M31" s="446">
        <v>30.15</v>
      </c>
      <c r="N31" s="446">
        <v>34.69</v>
      </c>
      <c r="O31" s="446">
        <v>30.83</v>
      </c>
      <c r="P31" s="446">
        <f t="shared" si="6"/>
        <v>30.83</v>
      </c>
      <c r="Q31" s="446">
        <f t="shared" si="6"/>
        <v>30.83</v>
      </c>
      <c r="R31" s="446">
        <f t="shared" si="6"/>
        <v>30.83</v>
      </c>
      <c r="S31" s="446">
        <f t="shared" si="6"/>
        <v>30.83</v>
      </c>
      <c r="T31" s="446">
        <f t="shared" si="6"/>
        <v>30.83</v>
      </c>
      <c r="U31" s="446">
        <f t="shared" si="6"/>
        <v>30.83</v>
      </c>
    </row>
    <row r="32" spans="1:21" ht="14.4" hidden="1">
      <c r="A32" s="636"/>
      <c r="B32" s="636" t="s">
        <v>571</v>
      </c>
      <c r="C32" s="636" t="s">
        <v>631</v>
      </c>
      <c r="D32" s="636"/>
      <c r="E32" s="636"/>
      <c r="F32" s="636"/>
      <c r="G32" s="636"/>
      <c r="H32" s="636"/>
      <c r="I32" s="636"/>
      <c r="J32" s="636"/>
      <c r="K32" s="196"/>
      <c r="L32" s="446">
        <v>34.799999999999997</v>
      </c>
      <c r="M32" s="446">
        <v>40.22</v>
      </c>
      <c r="N32" s="446">
        <v>48.67</v>
      </c>
      <c r="O32" s="446">
        <v>31.4</v>
      </c>
      <c r="P32" s="446">
        <f t="shared" si="6"/>
        <v>31.4</v>
      </c>
      <c r="Q32" s="446">
        <f t="shared" si="6"/>
        <v>31.4</v>
      </c>
      <c r="R32" s="446">
        <f t="shared" si="6"/>
        <v>31.4</v>
      </c>
      <c r="S32" s="446">
        <f t="shared" si="6"/>
        <v>31.4</v>
      </c>
      <c r="T32" s="446">
        <f t="shared" si="6"/>
        <v>31.4</v>
      </c>
      <c r="U32" s="446">
        <f t="shared" si="6"/>
        <v>31.4</v>
      </c>
    </row>
    <row r="33" spans="1:21" ht="14.4" hidden="1">
      <c r="A33" s="636" t="s">
        <v>573</v>
      </c>
      <c r="B33" s="636" t="s">
        <v>574</v>
      </c>
      <c r="C33" s="636"/>
      <c r="D33" s="636"/>
      <c r="E33" s="636"/>
      <c r="F33" s="636"/>
      <c r="G33" s="636"/>
      <c r="H33" s="636"/>
      <c r="I33" s="636"/>
      <c r="J33" s="636"/>
      <c r="K33" s="196"/>
      <c r="L33" s="445"/>
      <c r="M33" s="445"/>
      <c r="N33" s="445"/>
      <c r="O33" s="445"/>
      <c r="P33" s="445"/>
      <c r="Q33" s="445"/>
      <c r="R33" s="445"/>
      <c r="S33" s="445"/>
      <c r="T33" s="445"/>
      <c r="U33" s="445"/>
    </row>
    <row r="34" spans="1:21" ht="14.4" hidden="1">
      <c r="A34" s="636"/>
      <c r="B34" s="636" t="s">
        <v>575</v>
      </c>
      <c r="C34" s="636" t="s">
        <v>632</v>
      </c>
      <c r="D34" s="636"/>
      <c r="E34" s="636"/>
      <c r="F34" s="636"/>
      <c r="G34" s="636"/>
      <c r="H34" s="636"/>
      <c r="I34" s="636"/>
      <c r="J34" s="636"/>
      <c r="K34" s="196"/>
      <c r="L34" s="446">
        <v>103.46</v>
      </c>
      <c r="M34" s="446">
        <v>62.56</v>
      </c>
      <c r="N34" s="446">
        <v>132.1</v>
      </c>
      <c r="O34" s="446">
        <v>48.08</v>
      </c>
      <c r="P34" s="446">
        <f t="shared" ref="O34:U38" si="7">+O34</f>
        <v>48.08</v>
      </c>
      <c r="Q34" s="446">
        <f t="shared" si="7"/>
        <v>48.08</v>
      </c>
      <c r="R34" s="446">
        <f t="shared" si="7"/>
        <v>48.08</v>
      </c>
      <c r="S34" s="446">
        <f t="shared" si="7"/>
        <v>48.08</v>
      </c>
      <c r="T34" s="446">
        <f t="shared" si="7"/>
        <v>48.08</v>
      </c>
      <c r="U34" s="446">
        <f t="shared" si="7"/>
        <v>48.08</v>
      </c>
    </row>
    <row r="35" spans="1:21" ht="14.4" hidden="1">
      <c r="A35" s="636"/>
      <c r="B35" s="636" t="s">
        <v>576</v>
      </c>
      <c r="C35" s="636" t="s">
        <v>633</v>
      </c>
      <c r="D35" s="636"/>
      <c r="E35" s="636"/>
      <c r="F35" s="636"/>
      <c r="G35" s="636"/>
      <c r="H35" s="636"/>
      <c r="I35" s="636"/>
      <c r="J35" s="636"/>
      <c r="K35" s="196"/>
      <c r="L35" s="446">
        <v>32.26</v>
      </c>
      <c r="M35" s="446">
        <v>26.9</v>
      </c>
      <c r="N35" s="446">
        <v>32.35</v>
      </c>
      <c r="O35" s="446">
        <f t="shared" si="7"/>
        <v>32.35</v>
      </c>
      <c r="P35" s="446">
        <f t="shared" si="7"/>
        <v>32.35</v>
      </c>
      <c r="Q35" s="446">
        <f t="shared" si="7"/>
        <v>32.35</v>
      </c>
      <c r="R35" s="446">
        <f t="shared" si="7"/>
        <v>32.35</v>
      </c>
      <c r="S35" s="446">
        <f t="shared" si="7"/>
        <v>32.35</v>
      </c>
      <c r="T35" s="446">
        <f t="shared" si="7"/>
        <v>32.35</v>
      </c>
      <c r="U35" s="446">
        <f t="shared" si="7"/>
        <v>32.35</v>
      </c>
    </row>
    <row r="36" spans="1:21" ht="14.4" hidden="1">
      <c r="A36" s="636"/>
      <c r="B36" s="636" t="s">
        <v>577</v>
      </c>
      <c r="C36" s="636" t="s">
        <v>634</v>
      </c>
      <c r="D36" s="636"/>
      <c r="E36" s="636"/>
      <c r="F36" s="636"/>
      <c r="G36" s="636"/>
      <c r="H36" s="636"/>
      <c r="I36" s="636"/>
      <c r="J36" s="636"/>
      <c r="K36" s="196"/>
      <c r="L36" s="446">
        <v>18.13</v>
      </c>
      <c r="M36" s="446">
        <v>6.2</v>
      </c>
      <c r="N36" s="446">
        <v>28.88</v>
      </c>
      <c r="O36" s="446">
        <v>16.88</v>
      </c>
      <c r="P36" s="446">
        <f t="shared" si="7"/>
        <v>16.88</v>
      </c>
      <c r="Q36" s="446">
        <f t="shared" si="7"/>
        <v>16.88</v>
      </c>
      <c r="R36" s="446">
        <f t="shared" si="7"/>
        <v>16.88</v>
      </c>
      <c r="S36" s="446">
        <f t="shared" si="7"/>
        <v>16.88</v>
      </c>
      <c r="T36" s="446">
        <f t="shared" si="7"/>
        <v>16.88</v>
      </c>
      <c r="U36" s="446">
        <f t="shared" si="7"/>
        <v>16.88</v>
      </c>
    </row>
    <row r="37" spans="1:21" ht="14.4" hidden="1">
      <c r="A37" s="636"/>
      <c r="B37" s="636" t="s">
        <v>578</v>
      </c>
      <c r="C37" s="636" t="s">
        <v>635</v>
      </c>
      <c r="D37" s="636"/>
      <c r="E37" s="636"/>
      <c r="F37" s="636"/>
      <c r="G37" s="636"/>
      <c r="H37" s="636"/>
      <c r="I37" s="636"/>
      <c r="J37" s="636"/>
      <c r="K37" s="196"/>
      <c r="L37" s="446">
        <v>39.69</v>
      </c>
      <c r="M37" s="446">
        <v>34.68</v>
      </c>
      <c r="N37" s="446">
        <v>24.44</v>
      </c>
      <c r="O37" s="446">
        <f t="shared" si="7"/>
        <v>24.44</v>
      </c>
      <c r="P37" s="446">
        <f t="shared" si="7"/>
        <v>24.44</v>
      </c>
      <c r="Q37" s="446">
        <f t="shared" si="7"/>
        <v>24.44</v>
      </c>
      <c r="R37" s="446">
        <f t="shared" si="7"/>
        <v>24.44</v>
      </c>
      <c r="S37" s="446">
        <f t="shared" si="7"/>
        <v>24.44</v>
      </c>
      <c r="T37" s="446">
        <f t="shared" si="7"/>
        <v>24.44</v>
      </c>
      <c r="U37" s="446">
        <f t="shared" si="7"/>
        <v>24.44</v>
      </c>
    </row>
    <row r="38" spans="1:21" ht="14.4" hidden="1">
      <c r="A38" s="636"/>
      <c r="B38" s="636" t="s">
        <v>579</v>
      </c>
      <c r="C38" s="636" t="s">
        <v>636</v>
      </c>
      <c r="D38" s="636"/>
      <c r="E38" s="636"/>
      <c r="F38" s="636"/>
      <c r="G38" s="636"/>
      <c r="H38" s="636"/>
      <c r="I38" s="636"/>
      <c r="J38" s="636"/>
      <c r="K38" s="196"/>
      <c r="L38" s="446">
        <v>32.96</v>
      </c>
      <c r="M38" s="446">
        <v>21.61</v>
      </c>
      <c r="N38" s="446">
        <v>42.83</v>
      </c>
      <c r="O38" s="446">
        <v>23.15</v>
      </c>
      <c r="P38" s="446">
        <f t="shared" si="7"/>
        <v>23.15</v>
      </c>
      <c r="Q38" s="446">
        <f t="shared" si="7"/>
        <v>23.15</v>
      </c>
      <c r="R38" s="446">
        <f t="shared" si="7"/>
        <v>23.15</v>
      </c>
      <c r="S38" s="446">
        <f t="shared" si="7"/>
        <v>23.15</v>
      </c>
      <c r="T38" s="446">
        <f t="shared" si="7"/>
        <v>23.15</v>
      </c>
      <c r="U38" s="446">
        <f t="shared" si="7"/>
        <v>23.15</v>
      </c>
    </row>
    <row r="39" spans="1:21" ht="14.4" hidden="1">
      <c r="A39" s="636" t="s">
        <v>580</v>
      </c>
      <c r="B39" s="636" t="s">
        <v>581</v>
      </c>
      <c r="C39" s="636"/>
      <c r="D39" s="636"/>
      <c r="E39" s="636"/>
      <c r="F39" s="636"/>
      <c r="G39" s="636"/>
      <c r="H39" s="636"/>
      <c r="I39" s="636"/>
      <c r="J39" s="636"/>
      <c r="K39" s="196"/>
      <c r="L39" s="158"/>
      <c r="M39" s="158"/>
      <c r="N39" s="158"/>
      <c r="O39" s="158"/>
      <c r="P39" s="158"/>
      <c r="Q39" s="158"/>
      <c r="R39" s="158"/>
      <c r="S39" s="158"/>
      <c r="T39" s="158"/>
      <c r="U39" s="158"/>
    </row>
    <row r="40" spans="1:21" ht="14.4" hidden="1">
      <c r="A40" s="636"/>
      <c r="B40" s="636" t="s">
        <v>582</v>
      </c>
      <c r="C40" s="636" t="s">
        <v>601</v>
      </c>
      <c r="D40" s="636"/>
      <c r="E40" s="636"/>
      <c r="F40" s="636"/>
      <c r="G40" s="636"/>
      <c r="H40" s="636"/>
      <c r="I40" s="636"/>
      <c r="J40" s="636"/>
      <c r="K40" s="196"/>
      <c r="L40" s="446">
        <v>2.84</v>
      </c>
      <c r="M40" s="446">
        <v>1</v>
      </c>
      <c r="N40" s="446">
        <v>0</v>
      </c>
      <c r="O40" s="446">
        <v>2</v>
      </c>
      <c r="P40" s="446">
        <f t="shared" ref="O40:U42" si="8">+O40</f>
        <v>2</v>
      </c>
      <c r="Q40" s="446">
        <f t="shared" si="8"/>
        <v>2</v>
      </c>
      <c r="R40" s="446">
        <f t="shared" si="8"/>
        <v>2</v>
      </c>
      <c r="S40" s="446">
        <f t="shared" si="8"/>
        <v>2</v>
      </c>
      <c r="T40" s="446">
        <f t="shared" si="8"/>
        <v>2</v>
      </c>
      <c r="U40" s="446">
        <f t="shared" si="8"/>
        <v>2</v>
      </c>
    </row>
    <row r="41" spans="1:21" ht="14.4" hidden="1">
      <c r="A41" s="636"/>
      <c r="B41" s="636" t="s">
        <v>583</v>
      </c>
      <c r="C41" s="636" t="s">
        <v>602</v>
      </c>
      <c r="D41" s="636"/>
      <c r="E41" s="636"/>
      <c r="F41" s="636"/>
      <c r="G41" s="636"/>
      <c r="H41" s="636"/>
      <c r="I41" s="636"/>
      <c r="J41" s="636"/>
      <c r="K41" s="196"/>
      <c r="L41" s="446" t="s">
        <v>885</v>
      </c>
      <c r="M41" s="446">
        <v>3.2</v>
      </c>
      <c r="N41" s="446">
        <v>3</v>
      </c>
      <c r="O41" s="446">
        <v>9</v>
      </c>
      <c r="P41" s="446">
        <f t="shared" si="8"/>
        <v>9</v>
      </c>
      <c r="Q41" s="446">
        <f t="shared" si="8"/>
        <v>9</v>
      </c>
      <c r="R41" s="446">
        <f t="shared" si="8"/>
        <v>9</v>
      </c>
      <c r="S41" s="446">
        <f t="shared" si="8"/>
        <v>9</v>
      </c>
      <c r="T41" s="446">
        <f t="shared" si="8"/>
        <v>9</v>
      </c>
      <c r="U41" s="446">
        <f t="shared" si="8"/>
        <v>9</v>
      </c>
    </row>
    <row r="42" spans="1:21" ht="14.4" hidden="1">
      <c r="A42" s="636"/>
      <c r="B42" s="636" t="s">
        <v>584</v>
      </c>
      <c r="C42" s="636" t="s">
        <v>603</v>
      </c>
      <c r="D42" s="636"/>
      <c r="E42" s="636"/>
      <c r="F42" s="636"/>
      <c r="G42" s="636"/>
      <c r="H42" s="636"/>
      <c r="I42" s="636"/>
      <c r="J42" s="636"/>
      <c r="K42" s="196"/>
      <c r="L42" s="446" t="s">
        <v>885</v>
      </c>
      <c r="M42" s="446">
        <v>0</v>
      </c>
      <c r="N42" s="446">
        <v>0</v>
      </c>
      <c r="O42" s="446">
        <f t="shared" si="8"/>
        <v>0</v>
      </c>
      <c r="P42" s="446">
        <f t="shared" si="8"/>
        <v>0</v>
      </c>
      <c r="Q42" s="446">
        <f t="shared" si="8"/>
        <v>0</v>
      </c>
      <c r="R42" s="446">
        <f t="shared" si="8"/>
        <v>0</v>
      </c>
      <c r="S42" s="446">
        <f t="shared" si="8"/>
        <v>0</v>
      </c>
      <c r="T42" s="446">
        <f t="shared" si="8"/>
        <v>0</v>
      </c>
      <c r="U42" s="446">
        <f t="shared" si="8"/>
        <v>0</v>
      </c>
    </row>
    <row r="43" spans="1:21" ht="14.4" hidden="1">
      <c r="A43" s="636" t="s">
        <v>585</v>
      </c>
      <c r="B43" s="636" t="s">
        <v>586</v>
      </c>
      <c r="C43" s="636"/>
      <c r="D43" s="636"/>
      <c r="E43" s="636"/>
      <c r="F43" s="636"/>
      <c r="G43" s="636"/>
      <c r="H43" s="636"/>
      <c r="I43" s="636"/>
      <c r="J43" s="636"/>
      <c r="K43" s="196"/>
      <c r="L43" s="445"/>
      <c r="M43" s="445"/>
      <c r="N43" s="445"/>
      <c r="O43" s="445"/>
      <c r="P43" s="445"/>
      <c r="Q43" s="445"/>
      <c r="R43" s="445"/>
      <c r="S43" s="445"/>
      <c r="T43" s="445"/>
      <c r="U43" s="445"/>
    </row>
    <row r="44" spans="1:21" ht="14.4" hidden="1">
      <c r="A44" s="636"/>
      <c r="B44" s="636" t="s">
        <v>587</v>
      </c>
      <c r="C44" s="636" t="s">
        <v>604</v>
      </c>
      <c r="D44" s="636"/>
      <c r="E44" s="636"/>
      <c r="F44" s="636"/>
      <c r="G44" s="636"/>
      <c r="H44" s="636"/>
      <c r="I44" s="636"/>
      <c r="J44" s="636"/>
      <c r="K44" s="196"/>
      <c r="L44" s="446">
        <v>964.79</v>
      </c>
      <c r="M44" s="446">
        <v>929.5</v>
      </c>
      <c r="N44" s="446">
        <v>900.34</v>
      </c>
      <c r="O44" s="446">
        <v>900.26</v>
      </c>
      <c r="P44" s="446">
        <f t="shared" ref="O44:U53" si="9">+O44</f>
        <v>900.26</v>
      </c>
      <c r="Q44" s="446">
        <f t="shared" si="9"/>
        <v>900.26</v>
      </c>
      <c r="R44" s="446">
        <f t="shared" si="9"/>
        <v>900.26</v>
      </c>
      <c r="S44" s="446">
        <f t="shared" si="9"/>
        <v>900.26</v>
      </c>
      <c r="T44" s="446">
        <f t="shared" si="9"/>
        <v>900.26</v>
      </c>
      <c r="U44" s="446">
        <f t="shared" si="9"/>
        <v>900.26</v>
      </c>
    </row>
    <row r="45" spans="1:21" ht="14.4" hidden="1">
      <c r="A45" s="636"/>
      <c r="B45" s="636" t="s">
        <v>588</v>
      </c>
      <c r="C45" s="636" t="s">
        <v>605</v>
      </c>
      <c r="D45" s="636"/>
      <c r="E45" s="636"/>
      <c r="F45" s="636"/>
      <c r="G45" s="636"/>
      <c r="H45" s="636"/>
      <c r="I45" s="636"/>
      <c r="J45" s="636"/>
      <c r="K45" s="196"/>
      <c r="L45" s="446">
        <v>7.59</v>
      </c>
      <c r="M45" s="446">
        <v>6.01</v>
      </c>
      <c r="N45" s="446">
        <v>9.4600000000000009</v>
      </c>
      <c r="O45" s="446">
        <v>7.8</v>
      </c>
      <c r="P45" s="446">
        <f t="shared" si="9"/>
        <v>7.8</v>
      </c>
      <c r="Q45" s="446">
        <f t="shared" si="9"/>
        <v>7.8</v>
      </c>
      <c r="R45" s="446">
        <f t="shared" si="9"/>
        <v>7.8</v>
      </c>
      <c r="S45" s="446">
        <f t="shared" si="9"/>
        <v>7.8</v>
      </c>
      <c r="T45" s="446">
        <f t="shared" si="9"/>
        <v>7.8</v>
      </c>
      <c r="U45" s="446">
        <f t="shared" si="9"/>
        <v>7.8</v>
      </c>
    </row>
    <row r="46" spans="1:21" ht="14.4" hidden="1">
      <c r="A46" s="126"/>
      <c r="B46" s="636" t="s">
        <v>772</v>
      </c>
      <c r="C46" s="636" t="s">
        <v>767</v>
      </c>
      <c r="D46" s="636"/>
      <c r="E46" s="636"/>
      <c r="F46" s="636"/>
      <c r="G46" s="636"/>
      <c r="H46" s="636"/>
      <c r="I46" s="636"/>
      <c r="J46" s="636"/>
      <c r="K46" s="196"/>
      <c r="L46" s="445">
        <v>3032.08</v>
      </c>
      <c r="M46" s="445">
        <v>2985.2949999999996</v>
      </c>
      <c r="N46" s="445">
        <v>2996.7</v>
      </c>
      <c r="O46" s="445">
        <f t="shared" ref="O46:Q46" si="10">(O25-(O47*0.75)-O48-O51-(O49-O50)-O52)</f>
        <v>2882.6195000000002</v>
      </c>
      <c r="P46" s="445">
        <f t="shared" si="10"/>
        <v>2872.6195000000002</v>
      </c>
      <c r="Q46" s="445">
        <f t="shared" si="10"/>
        <v>2862.6195000000002</v>
      </c>
      <c r="R46" s="445">
        <f>(R25-(R47*0.75)-R48-R51-(R49-R50)-R52)</f>
        <v>2852.6195000000002</v>
      </c>
      <c r="S46" s="445">
        <f>(S25-(S47*0.75)-S48-S51-(S49-S50)-S52)</f>
        <v>2842.6195000000002</v>
      </c>
      <c r="T46" s="445">
        <f>(T25-(T47*0.75)-T48-T51-(T49-T50)-T52)</f>
        <v>2832.6195000000002</v>
      </c>
      <c r="U46" s="445">
        <f>(U25-(U47*0.75)-U48-U51-(U49-U50)-U52)</f>
        <v>2822.6195000000002</v>
      </c>
    </row>
    <row r="47" spans="1:21" ht="14.4" hidden="1">
      <c r="A47" s="636"/>
      <c r="B47" s="636" t="s">
        <v>589</v>
      </c>
      <c r="C47" s="636" t="s">
        <v>607</v>
      </c>
      <c r="D47" s="636"/>
      <c r="E47" s="636"/>
      <c r="F47" s="636"/>
      <c r="G47" s="636"/>
      <c r="H47" s="636"/>
      <c r="I47" s="636"/>
      <c r="J47" s="636"/>
      <c r="K47" s="196"/>
      <c r="L47" s="446">
        <v>98.2</v>
      </c>
      <c r="M47" s="446">
        <v>110.54</v>
      </c>
      <c r="N47" s="446">
        <v>106.64</v>
      </c>
      <c r="O47" s="446">
        <v>140.47</v>
      </c>
      <c r="P47" s="446">
        <f t="shared" si="9"/>
        <v>140.47</v>
      </c>
      <c r="Q47" s="446">
        <f t="shared" si="9"/>
        <v>140.47</v>
      </c>
      <c r="R47" s="446">
        <f t="shared" si="9"/>
        <v>140.47</v>
      </c>
      <c r="S47" s="446">
        <f t="shared" si="9"/>
        <v>140.47</v>
      </c>
      <c r="T47" s="446">
        <f t="shared" si="9"/>
        <v>140.47</v>
      </c>
      <c r="U47" s="446">
        <f t="shared" si="9"/>
        <v>140.47</v>
      </c>
    </row>
    <row r="48" spans="1:21" ht="14.4" hidden="1">
      <c r="A48" s="636"/>
      <c r="B48" s="636" t="s">
        <v>590</v>
      </c>
      <c r="C48" s="636" t="s">
        <v>637</v>
      </c>
      <c r="D48" s="636"/>
      <c r="E48" s="636"/>
      <c r="F48" s="636"/>
      <c r="G48" s="636"/>
      <c r="H48" s="636"/>
      <c r="I48" s="636"/>
      <c r="J48" s="636"/>
      <c r="K48" s="196"/>
      <c r="L48" s="446">
        <v>113.9</v>
      </c>
      <c r="M48" s="446">
        <v>80.63</v>
      </c>
      <c r="N48" s="446">
        <v>92.9</v>
      </c>
      <c r="O48" s="446">
        <v>51.73</v>
      </c>
      <c r="P48" s="446">
        <f t="shared" si="9"/>
        <v>51.73</v>
      </c>
      <c r="Q48" s="446">
        <f t="shared" si="9"/>
        <v>51.73</v>
      </c>
      <c r="R48" s="446">
        <f t="shared" si="9"/>
        <v>51.73</v>
      </c>
      <c r="S48" s="446">
        <f t="shared" si="9"/>
        <v>51.73</v>
      </c>
      <c r="T48" s="446">
        <f t="shared" si="9"/>
        <v>51.73</v>
      </c>
      <c r="U48" s="446">
        <f t="shared" si="9"/>
        <v>51.73</v>
      </c>
    </row>
    <row r="49" spans="1:21" ht="14.4" hidden="1">
      <c r="A49" s="126"/>
      <c r="B49" s="636" t="s">
        <v>773</v>
      </c>
      <c r="C49" s="636" t="s">
        <v>609</v>
      </c>
      <c r="D49" s="636"/>
      <c r="E49" s="636"/>
      <c r="F49" s="636"/>
      <c r="G49" s="636"/>
      <c r="H49" s="636"/>
      <c r="I49" s="636"/>
      <c r="J49" s="636"/>
      <c r="K49" s="196"/>
      <c r="L49" s="446">
        <v>12.04</v>
      </c>
      <c r="M49" s="446">
        <v>18.170000000000002</v>
      </c>
      <c r="N49" s="446">
        <v>19.07</v>
      </c>
      <c r="O49" s="446">
        <v>6.35</v>
      </c>
      <c r="P49" s="446">
        <f t="shared" si="9"/>
        <v>6.35</v>
      </c>
      <c r="Q49" s="446">
        <f t="shared" si="9"/>
        <v>6.35</v>
      </c>
      <c r="R49" s="446">
        <f t="shared" si="9"/>
        <v>6.35</v>
      </c>
      <c r="S49" s="446">
        <f t="shared" si="9"/>
        <v>6.35</v>
      </c>
      <c r="T49" s="446">
        <f t="shared" si="9"/>
        <v>6.35</v>
      </c>
      <c r="U49" s="446">
        <f t="shared" si="9"/>
        <v>6.35</v>
      </c>
    </row>
    <row r="50" spans="1:21" ht="14.4" hidden="1">
      <c r="A50" s="126"/>
      <c r="B50" s="636" t="s">
        <v>774</v>
      </c>
      <c r="C50" s="636" t="s">
        <v>606</v>
      </c>
      <c r="D50" s="636"/>
      <c r="E50" s="636"/>
      <c r="F50" s="636"/>
      <c r="G50" s="636"/>
      <c r="H50" s="636"/>
      <c r="I50" s="636"/>
      <c r="J50" s="636"/>
      <c r="K50" s="196"/>
      <c r="L50" s="446">
        <v>0.92</v>
      </c>
      <c r="M50" s="446">
        <v>0.79</v>
      </c>
      <c r="N50" s="446">
        <v>1.68</v>
      </c>
      <c r="O50" s="446">
        <f t="shared" si="9"/>
        <v>1.68</v>
      </c>
      <c r="P50" s="446">
        <f t="shared" si="9"/>
        <v>1.68</v>
      </c>
      <c r="Q50" s="446">
        <f t="shared" si="9"/>
        <v>1.68</v>
      </c>
      <c r="R50" s="446">
        <f t="shared" si="9"/>
        <v>1.68</v>
      </c>
      <c r="S50" s="446">
        <f t="shared" si="9"/>
        <v>1.68</v>
      </c>
      <c r="T50" s="446">
        <f t="shared" si="9"/>
        <v>1.68</v>
      </c>
      <c r="U50" s="446">
        <f t="shared" si="9"/>
        <v>1.68</v>
      </c>
    </row>
    <row r="51" spans="1:21" ht="14.4" hidden="1">
      <c r="A51" s="126"/>
      <c r="B51" s="636" t="s">
        <v>775</v>
      </c>
      <c r="C51" s="636" t="s">
        <v>610</v>
      </c>
      <c r="D51" s="636"/>
      <c r="E51" s="636"/>
      <c r="F51" s="636"/>
      <c r="G51" s="636"/>
      <c r="H51" s="636"/>
      <c r="I51" s="636"/>
      <c r="J51" s="636"/>
      <c r="K51" s="196"/>
      <c r="L51" s="446">
        <v>5.53</v>
      </c>
      <c r="M51" s="446">
        <v>7.11</v>
      </c>
      <c r="N51" s="446">
        <v>9.2799999999999994</v>
      </c>
      <c r="O51" s="446">
        <f t="shared" si="9"/>
        <v>9.2799999999999994</v>
      </c>
      <c r="P51" s="446">
        <f t="shared" si="9"/>
        <v>9.2799999999999994</v>
      </c>
      <c r="Q51" s="446">
        <f t="shared" si="9"/>
        <v>9.2799999999999994</v>
      </c>
      <c r="R51" s="446">
        <f t="shared" si="9"/>
        <v>9.2799999999999994</v>
      </c>
      <c r="S51" s="446">
        <f t="shared" si="9"/>
        <v>9.2799999999999994</v>
      </c>
      <c r="T51" s="446">
        <f t="shared" si="9"/>
        <v>9.2799999999999994</v>
      </c>
      <c r="U51" s="446">
        <f t="shared" si="9"/>
        <v>9.2799999999999994</v>
      </c>
    </row>
    <row r="52" spans="1:21" ht="14.4" hidden="1">
      <c r="A52" s="126"/>
      <c r="B52" s="636" t="s">
        <v>591</v>
      </c>
      <c r="C52" s="636" t="s">
        <v>608</v>
      </c>
      <c r="D52" s="636"/>
      <c r="E52" s="636"/>
      <c r="F52" s="636"/>
      <c r="G52" s="636"/>
      <c r="H52" s="636"/>
      <c r="I52" s="636"/>
      <c r="J52" s="636"/>
      <c r="K52" s="196"/>
      <c r="L52" s="446">
        <v>0</v>
      </c>
      <c r="M52" s="446">
        <v>0</v>
      </c>
      <c r="N52" s="446">
        <v>0</v>
      </c>
      <c r="O52" s="446">
        <f t="shared" si="9"/>
        <v>0</v>
      </c>
      <c r="P52" s="446">
        <f t="shared" si="9"/>
        <v>0</v>
      </c>
      <c r="Q52" s="446">
        <f t="shared" si="9"/>
        <v>0</v>
      </c>
      <c r="R52" s="446">
        <f t="shared" si="9"/>
        <v>0</v>
      </c>
      <c r="S52" s="446">
        <f t="shared" si="9"/>
        <v>0</v>
      </c>
      <c r="T52" s="446">
        <f t="shared" si="9"/>
        <v>0</v>
      </c>
      <c r="U52" s="446">
        <f t="shared" si="9"/>
        <v>0</v>
      </c>
    </row>
    <row r="53" spans="1:21" ht="14.4" hidden="1">
      <c r="A53" s="126"/>
      <c r="B53" s="636" t="s">
        <v>592</v>
      </c>
      <c r="C53" s="636" t="s">
        <v>611</v>
      </c>
      <c r="D53" s="636"/>
      <c r="E53" s="636"/>
      <c r="F53" s="636"/>
      <c r="G53" s="636"/>
      <c r="H53" s="636"/>
      <c r="I53" s="636"/>
      <c r="J53" s="636"/>
      <c r="K53" s="196"/>
      <c r="L53" s="446">
        <v>2043.44</v>
      </c>
      <c r="M53" s="446">
        <v>1976.7</v>
      </c>
      <c r="N53" s="446">
        <v>2042.25</v>
      </c>
      <c r="O53" s="446">
        <v>842.77</v>
      </c>
      <c r="P53" s="446">
        <f t="shared" si="9"/>
        <v>842.77</v>
      </c>
      <c r="Q53" s="446">
        <f t="shared" si="9"/>
        <v>842.77</v>
      </c>
      <c r="R53" s="446">
        <f t="shared" si="9"/>
        <v>842.77</v>
      </c>
      <c r="S53" s="446">
        <f t="shared" si="9"/>
        <v>842.77</v>
      </c>
      <c r="T53" s="446">
        <f t="shared" si="9"/>
        <v>842.77</v>
      </c>
      <c r="U53" s="446">
        <f t="shared" si="9"/>
        <v>842.77</v>
      </c>
    </row>
    <row r="54" spans="1:21" ht="14.4" hidden="1">
      <c r="A54" s="636"/>
      <c r="B54" s="636" t="s">
        <v>593</v>
      </c>
      <c r="C54" s="636" t="s">
        <v>612</v>
      </c>
      <c r="D54" s="636"/>
      <c r="E54" s="636"/>
      <c r="F54" s="636"/>
      <c r="G54" s="636"/>
      <c r="H54" s="636"/>
      <c r="I54" s="636"/>
      <c r="J54" s="636"/>
      <c r="K54" s="196"/>
      <c r="L54" s="448">
        <v>0.63141631750033989</v>
      </c>
      <c r="M54" s="448">
        <v>0.29489844247285713</v>
      </c>
      <c r="N54" s="448">
        <v>0.29139915221207391</v>
      </c>
      <c r="O54" s="448">
        <f t="shared" ref="O54:Q54" si="11">O53/O21</f>
        <v>0.26903383153822086</v>
      </c>
      <c r="P54" s="448">
        <f t="shared" si="11"/>
        <v>0.26989540700318321</v>
      </c>
      <c r="Q54" s="448">
        <f t="shared" si="11"/>
        <v>0.27076251855373995</v>
      </c>
      <c r="R54" s="448">
        <f>R53/R21</f>
        <v>0.2716352197203617</v>
      </c>
      <c r="S54" s="448">
        <f>S53/S21</f>
        <v>0.27251356472589228</v>
      </c>
      <c r="T54" s="448">
        <f>T53/T21</f>
        <v>0.27339760849677863</v>
      </c>
      <c r="U54" s="448">
        <f>U53/U21</f>
        <v>0.27428740667452106</v>
      </c>
    </row>
    <row r="55" spans="1:21" ht="14.4" hidden="1">
      <c r="A55" s="636"/>
      <c r="B55" s="636" t="s">
        <v>676</v>
      </c>
      <c r="C55" s="636" t="s">
        <v>680</v>
      </c>
      <c r="D55" s="636"/>
      <c r="E55" s="636"/>
      <c r="F55" s="636"/>
      <c r="G55" s="636"/>
      <c r="H55" s="636"/>
      <c r="I55" s="636"/>
      <c r="J55" s="636"/>
      <c r="K55" s="196"/>
      <c r="L55" s="446">
        <v>81.37</v>
      </c>
      <c r="M55" s="446">
        <v>49.57</v>
      </c>
      <c r="N55" s="446">
        <v>53.86</v>
      </c>
      <c r="O55" s="180">
        <v>15.63</v>
      </c>
      <c r="P55" s="180">
        <f t="shared" ref="P55:U55" si="12">O55</f>
        <v>15.63</v>
      </c>
      <c r="Q55" s="180">
        <f t="shared" si="12"/>
        <v>15.63</v>
      </c>
      <c r="R55" s="180">
        <f t="shared" si="12"/>
        <v>15.63</v>
      </c>
      <c r="S55" s="180">
        <f t="shared" si="12"/>
        <v>15.63</v>
      </c>
      <c r="T55" s="180">
        <f t="shared" si="12"/>
        <v>15.63</v>
      </c>
      <c r="U55" s="180">
        <f t="shared" si="12"/>
        <v>15.63</v>
      </c>
    </row>
    <row r="56" spans="1:21" ht="14.4" hidden="1">
      <c r="A56" s="636" t="s">
        <v>594</v>
      </c>
      <c r="B56" s="636" t="s">
        <v>613</v>
      </c>
      <c r="C56" s="636"/>
      <c r="D56" s="636"/>
      <c r="E56" s="636"/>
      <c r="F56" s="636"/>
      <c r="G56" s="636"/>
      <c r="H56" s="636"/>
      <c r="I56" s="636"/>
      <c r="J56" s="636"/>
      <c r="K56" s="196"/>
      <c r="L56" s="723">
        <v>405231269</v>
      </c>
      <c r="M56" s="723">
        <v>411984637</v>
      </c>
      <c r="N56" s="181">
        <v>418814140</v>
      </c>
      <c r="O56" s="181">
        <v>638288495</v>
      </c>
      <c r="P56" s="181">
        <f t="shared" ref="P56:U56" si="13">+O56</f>
        <v>638288495</v>
      </c>
      <c r="Q56" s="181">
        <f t="shared" si="13"/>
        <v>638288495</v>
      </c>
      <c r="R56" s="181">
        <f t="shared" si="13"/>
        <v>638288495</v>
      </c>
      <c r="S56" s="181">
        <f t="shared" si="13"/>
        <v>638288495</v>
      </c>
      <c r="T56" s="181">
        <f t="shared" si="13"/>
        <v>638288495</v>
      </c>
      <c r="U56" s="181">
        <f t="shared" si="13"/>
        <v>638288495</v>
      </c>
    </row>
    <row r="57" spans="1:21" ht="14.4" hidden="1">
      <c r="A57" s="636" t="s">
        <v>595</v>
      </c>
      <c r="B57" s="636" t="s">
        <v>614</v>
      </c>
      <c r="C57" s="636"/>
      <c r="D57" s="636"/>
      <c r="E57" s="636"/>
      <c r="F57" s="636"/>
      <c r="G57" s="636"/>
      <c r="H57" s="636"/>
      <c r="I57" s="636"/>
      <c r="J57" s="636"/>
      <c r="K57" s="196"/>
      <c r="L57" s="723">
        <v>298639180</v>
      </c>
      <c r="M57" s="723">
        <v>299797940</v>
      </c>
      <c r="N57" s="181">
        <v>304137400</v>
      </c>
      <c r="O57" s="181">
        <v>488600813</v>
      </c>
      <c r="P57" s="181">
        <f t="shared" ref="P57:U58" si="14">+O57</f>
        <v>488600813</v>
      </c>
      <c r="Q57" s="181">
        <f t="shared" si="14"/>
        <v>488600813</v>
      </c>
      <c r="R57" s="181">
        <f t="shared" si="14"/>
        <v>488600813</v>
      </c>
      <c r="S57" s="181">
        <f t="shared" si="14"/>
        <v>488600813</v>
      </c>
      <c r="T57" s="181">
        <f t="shared" si="14"/>
        <v>488600813</v>
      </c>
      <c r="U57" s="181">
        <f t="shared" si="14"/>
        <v>488600813</v>
      </c>
    </row>
    <row r="58" spans="1:21" ht="14.4" hidden="1">
      <c r="A58" s="636" t="s">
        <v>596</v>
      </c>
      <c r="B58" s="636" t="s">
        <v>615</v>
      </c>
      <c r="C58" s="636"/>
      <c r="D58" s="636"/>
      <c r="E58" s="636"/>
      <c r="F58" s="636"/>
      <c r="G58" s="636"/>
      <c r="H58" s="636"/>
      <c r="I58" s="636"/>
      <c r="J58" s="636"/>
      <c r="K58" s="196"/>
      <c r="L58" s="723">
        <v>13404653</v>
      </c>
      <c r="M58" s="723">
        <v>15058707</v>
      </c>
      <c r="N58" s="181">
        <v>14245527</v>
      </c>
      <c r="O58" s="181">
        <v>63828050</v>
      </c>
      <c r="P58" s="181">
        <f t="shared" si="14"/>
        <v>63828050</v>
      </c>
      <c r="Q58" s="181">
        <f t="shared" si="14"/>
        <v>63828050</v>
      </c>
      <c r="R58" s="181">
        <f t="shared" si="14"/>
        <v>63828050</v>
      </c>
      <c r="S58" s="181">
        <f t="shared" si="14"/>
        <v>63828050</v>
      </c>
      <c r="T58" s="181">
        <f t="shared" si="14"/>
        <v>63828050</v>
      </c>
      <c r="U58" s="181">
        <f t="shared" si="14"/>
        <v>63828050</v>
      </c>
    </row>
    <row r="59" spans="1:21" ht="14.4" hidden="1">
      <c r="A59" s="636" t="s">
        <v>597</v>
      </c>
      <c r="B59" s="636" t="s">
        <v>616</v>
      </c>
      <c r="C59" s="636"/>
      <c r="D59" s="636"/>
      <c r="E59" s="636"/>
      <c r="F59" s="636"/>
      <c r="G59" s="636"/>
      <c r="H59" s="636"/>
      <c r="I59" s="636"/>
      <c r="J59" s="636"/>
      <c r="K59" s="196"/>
      <c r="L59" s="723">
        <v>314309260</v>
      </c>
      <c r="M59" s="723">
        <v>316043840</v>
      </c>
      <c r="N59" s="181">
        <v>321539553</v>
      </c>
      <c r="O59" s="181">
        <v>503112923</v>
      </c>
      <c r="P59" s="181">
        <f t="shared" ref="P59:S59" si="15">P72</f>
        <v>269193833.33333331</v>
      </c>
      <c r="Q59" s="181">
        <f t="shared" si="15"/>
        <v>252975676.66666666</v>
      </c>
      <c r="R59" s="181">
        <f t="shared" si="15"/>
        <v>267326223.33333334</v>
      </c>
      <c r="S59" s="181">
        <f t="shared" si="15"/>
        <v>281781360</v>
      </c>
      <c r="T59" s="181">
        <f t="shared" ref="T59:U59" si="16">T72</f>
        <v>283381737.56666666</v>
      </c>
      <c r="U59" s="181">
        <f t="shared" si="16"/>
        <v>284982115.13333333</v>
      </c>
    </row>
    <row r="60" spans="1:21" ht="14.4" hidden="1">
      <c r="A60" s="636"/>
      <c r="B60" s="636" t="s">
        <v>598</v>
      </c>
      <c r="C60" s="636" t="s">
        <v>617</v>
      </c>
      <c r="D60" s="636"/>
      <c r="E60" s="636"/>
      <c r="F60" s="636"/>
      <c r="G60" s="636"/>
      <c r="H60" s="636"/>
      <c r="I60" s="636"/>
      <c r="J60" s="636"/>
      <c r="K60" s="181"/>
      <c r="L60" s="196"/>
      <c r="M60" s="196"/>
      <c r="N60" s="196"/>
      <c r="O60" s="196"/>
      <c r="P60" s="196"/>
      <c r="Q60" s="196"/>
      <c r="R60" s="196"/>
      <c r="S60" s="196"/>
      <c r="T60" s="196"/>
      <c r="U60" s="196"/>
    </row>
    <row r="61" spans="1:21" ht="14.4" hidden="1">
      <c r="A61" s="636"/>
      <c r="B61" s="636" t="s">
        <v>599</v>
      </c>
      <c r="C61" s="636" t="s">
        <v>618</v>
      </c>
      <c r="D61" s="636"/>
      <c r="E61" s="636"/>
      <c r="F61" s="636"/>
      <c r="G61" s="636"/>
      <c r="H61" s="636"/>
      <c r="I61" s="636"/>
      <c r="J61" s="636"/>
      <c r="K61" s="181"/>
      <c r="L61" s="196"/>
      <c r="M61" s="196"/>
      <c r="N61" s="196"/>
      <c r="O61" s="196"/>
      <c r="P61" s="196"/>
      <c r="Q61" s="196"/>
      <c r="R61" s="196"/>
      <c r="S61" s="196"/>
      <c r="T61" s="196"/>
      <c r="U61" s="196"/>
    </row>
    <row r="62" spans="1:21" ht="14.4" hidden="1">
      <c r="A62" s="636"/>
      <c r="B62" s="636" t="s">
        <v>600</v>
      </c>
      <c r="C62" s="636" t="s">
        <v>619</v>
      </c>
      <c r="D62" s="636"/>
      <c r="E62" s="636"/>
      <c r="F62" s="636"/>
      <c r="G62" s="636"/>
      <c r="H62" s="636"/>
      <c r="I62" s="636"/>
      <c r="J62" s="636"/>
      <c r="K62" s="181"/>
      <c r="L62" s="196"/>
      <c r="M62" s="196"/>
      <c r="N62" s="196"/>
      <c r="O62" s="196"/>
      <c r="P62" s="196"/>
      <c r="Q62" s="196"/>
      <c r="R62" s="196"/>
      <c r="S62" s="196"/>
      <c r="T62" s="196"/>
      <c r="U62" s="196"/>
    </row>
    <row r="63" spans="1:21" ht="14.4" hidden="1">
      <c r="A63" s="636"/>
      <c r="B63" s="636" t="s">
        <v>620</v>
      </c>
      <c r="C63" s="636"/>
      <c r="D63" s="636"/>
      <c r="E63" s="636"/>
      <c r="F63" s="636"/>
      <c r="G63" s="636"/>
      <c r="H63" s="636"/>
      <c r="I63" s="636"/>
      <c r="J63" s="636"/>
      <c r="K63" s="196"/>
      <c r="L63" s="196">
        <v>0.65572112599999999</v>
      </c>
      <c r="M63" s="196">
        <v>0.66661447399999996</v>
      </c>
      <c r="N63" s="196">
        <v>0.66661447399999996</v>
      </c>
      <c r="O63" s="196">
        <f t="shared" ref="O63:Q63" si="17">+O85</f>
        <v>0.71823510815114455</v>
      </c>
      <c r="P63" s="196">
        <f t="shared" si="17"/>
        <v>0.45936311699999999</v>
      </c>
      <c r="Q63" s="196">
        <f t="shared" si="17"/>
        <v>0.77393329018920931</v>
      </c>
      <c r="R63" s="196">
        <f>+R85</f>
        <v>0.75105012505481417</v>
      </c>
      <c r="S63" s="196">
        <f>+S85</f>
        <v>0.72786107508651798</v>
      </c>
      <c r="T63" s="196">
        <f>+T85</f>
        <v>0.72405018101012164</v>
      </c>
      <c r="U63" s="196">
        <f>+U85</f>
        <v>0.72021456157979191</v>
      </c>
    </row>
    <row r="64" spans="1:21" ht="14.4" hidden="1">
      <c r="A64" s="636"/>
      <c r="B64" s="636" t="s">
        <v>648</v>
      </c>
      <c r="C64" s="636" t="s">
        <v>655</v>
      </c>
      <c r="D64" s="636"/>
      <c r="E64" s="636"/>
      <c r="F64" s="636"/>
      <c r="G64" s="636"/>
      <c r="H64" s="636"/>
      <c r="I64" s="636"/>
      <c r="J64" s="636"/>
      <c r="K64" s="196"/>
      <c r="L64" s="181"/>
      <c r="M64" s="181">
        <v>321950170</v>
      </c>
      <c r="N64" s="181">
        <v>329776920</v>
      </c>
      <c r="O64" s="185">
        <f>+Tax!G109</f>
        <v>238729720</v>
      </c>
      <c r="P64" s="185">
        <f>+Tax!H109</f>
        <v>239074860</v>
      </c>
      <c r="Q64" s="182">
        <f>+Tax!I109</f>
        <v>281122450</v>
      </c>
      <c r="R64" s="182">
        <f>+Tax!J109</f>
        <v>281781360</v>
      </c>
      <c r="S64" s="182">
        <f>+Tax!K109</f>
        <v>282440270</v>
      </c>
      <c r="T64" s="182">
        <f>+Tax!L109</f>
        <v>285923582.69999999</v>
      </c>
      <c r="U64" s="182">
        <f>+Tax!M109</f>
        <v>286582492.69999999</v>
      </c>
    </row>
    <row r="65" spans="1:21" ht="14.4" hidden="1">
      <c r="A65" s="636"/>
      <c r="B65" s="636" t="s">
        <v>649</v>
      </c>
      <c r="C65" s="636" t="s">
        <v>656</v>
      </c>
      <c r="D65" s="636"/>
      <c r="E65" s="636"/>
      <c r="F65" s="636"/>
      <c r="G65" s="636"/>
      <c r="H65" s="636"/>
      <c r="I65" s="636"/>
      <c r="J65" s="636"/>
      <c r="K65" s="196"/>
      <c r="L65" s="723"/>
      <c r="M65" s="181">
        <v>312891570</v>
      </c>
      <c r="N65" s="181">
        <v>321950170</v>
      </c>
      <c r="O65" s="185">
        <f t="shared" ref="O65:U66" si="18">+N64</f>
        <v>329776920</v>
      </c>
      <c r="P65" s="185">
        <f t="shared" si="18"/>
        <v>238729720</v>
      </c>
      <c r="Q65" s="182">
        <f t="shared" si="18"/>
        <v>239074860</v>
      </c>
      <c r="R65" s="182">
        <f t="shared" si="18"/>
        <v>281122450</v>
      </c>
      <c r="S65" s="182">
        <f t="shared" si="18"/>
        <v>281781360</v>
      </c>
      <c r="T65" s="182">
        <f t="shared" si="18"/>
        <v>282440270</v>
      </c>
      <c r="U65" s="182">
        <f t="shared" si="18"/>
        <v>285923582.69999999</v>
      </c>
    </row>
    <row r="66" spans="1:21" ht="14.4" hidden="1">
      <c r="A66" s="636"/>
      <c r="B66" s="636" t="s">
        <v>650</v>
      </c>
      <c r="C66" s="636" t="s">
        <v>657</v>
      </c>
      <c r="D66" s="636"/>
      <c r="E66" s="636"/>
      <c r="F66" s="636"/>
      <c r="G66" s="636"/>
      <c r="H66" s="636"/>
      <c r="I66" s="636"/>
      <c r="J66" s="636"/>
      <c r="K66" s="196"/>
      <c r="L66" s="182"/>
      <c r="M66" s="181">
        <v>313289780</v>
      </c>
      <c r="N66" s="181">
        <v>312891570</v>
      </c>
      <c r="O66" s="185">
        <f t="shared" si="18"/>
        <v>321950170</v>
      </c>
      <c r="P66" s="185">
        <f t="shared" si="18"/>
        <v>329776920</v>
      </c>
      <c r="Q66" s="182">
        <f t="shared" si="18"/>
        <v>238729720</v>
      </c>
      <c r="R66" s="182">
        <f t="shared" si="18"/>
        <v>239074860</v>
      </c>
      <c r="S66" s="182">
        <f t="shared" si="18"/>
        <v>281122450</v>
      </c>
      <c r="T66" s="182">
        <f t="shared" si="18"/>
        <v>281781360</v>
      </c>
      <c r="U66" s="182">
        <f t="shared" si="18"/>
        <v>282440270</v>
      </c>
    </row>
    <row r="67" spans="1:21" ht="14.4" hidden="1">
      <c r="A67" s="636"/>
      <c r="B67" s="636" t="s">
        <v>651</v>
      </c>
      <c r="C67" s="636" t="s">
        <v>652</v>
      </c>
      <c r="D67" s="636"/>
      <c r="E67" s="636"/>
      <c r="F67" s="636"/>
      <c r="G67" s="636"/>
      <c r="H67" s="636"/>
      <c r="I67" s="636"/>
      <c r="J67" s="636"/>
      <c r="K67" s="196"/>
      <c r="L67" s="723"/>
      <c r="M67" s="182">
        <v>316043840</v>
      </c>
      <c r="N67" s="182">
        <v>321539553.33333331</v>
      </c>
      <c r="O67" s="185">
        <f t="shared" ref="O67" si="19">AVERAGE(O64:O66)</f>
        <v>296818936.66666669</v>
      </c>
      <c r="P67" s="185">
        <f t="shared" ref="P67:Q67" si="20">AVERAGE(P64:P66)</f>
        <v>269193833.33333331</v>
      </c>
      <c r="Q67" s="182">
        <f t="shared" si="20"/>
        <v>252975676.66666666</v>
      </c>
      <c r="R67" s="182">
        <f>AVERAGE(R64:R66)</f>
        <v>267326223.33333334</v>
      </c>
      <c r="S67" s="182">
        <f>AVERAGE(S64:S66)</f>
        <v>281781360</v>
      </c>
      <c r="T67" s="182">
        <f>AVERAGE(T64:T66)</f>
        <v>283381737.56666666</v>
      </c>
      <c r="U67" s="182">
        <f>AVERAGE(U64:U66)</f>
        <v>284982115.13333333</v>
      </c>
    </row>
    <row r="68" spans="1:21" ht="14.4" hidden="1">
      <c r="A68" s="636"/>
      <c r="B68" s="636" t="s">
        <v>653</v>
      </c>
      <c r="C68" s="636" t="s">
        <v>654</v>
      </c>
      <c r="D68" s="636"/>
      <c r="E68" s="636"/>
      <c r="F68" s="636"/>
      <c r="G68" s="636"/>
      <c r="H68" s="636"/>
      <c r="I68" s="636"/>
      <c r="J68" s="636"/>
      <c r="K68" s="196"/>
      <c r="L68" s="182"/>
      <c r="M68" s="182"/>
      <c r="N68" s="182"/>
      <c r="O68" s="185">
        <f t="shared" ref="O68:U69" si="21">+N68</f>
        <v>0</v>
      </c>
      <c r="P68" s="185">
        <f t="shared" si="21"/>
        <v>0</v>
      </c>
      <c r="Q68" s="182">
        <f t="shared" si="21"/>
        <v>0</v>
      </c>
      <c r="R68" s="182">
        <f t="shared" si="21"/>
        <v>0</v>
      </c>
      <c r="S68" s="182">
        <f t="shared" si="21"/>
        <v>0</v>
      </c>
      <c r="T68" s="182">
        <f t="shared" si="21"/>
        <v>0</v>
      </c>
      <c r="U68" s="182">
        <f t="shared" si="21"/>
        <v>0</v>
      </c>
    </row>
    <row r="69" spans="1:21" ht="14.4" hidden="1">
      <c r="A69" s="636"/>
      <c r="B69" s="636" t="s">
        <v>658</v>
      </c>
      <c r="C69" s="636" t="s">
        <v>659</v>
      </c>
      <c r="D69" s="636"/>
      <c r="E69" s="636"/>
      <c r="F69" s="636"/>
      <c r="G69" s="636"/>
      <c r="H69" s="636"/>
      <c r="I69" s="636"/>
      <c r="J69" s="636"/>
      <c r="K69" s="196"/>
      <c r="L69" s="182"/>
      <c r="M69" s="182"/>
      <c r="N69" s="182"/>
      <c r="O69" s="185">
        <f t="shared" si="21"/>
        <v>0</v>
      </c>
      <c r="P69" s="185">
        <f t="shared" si="21"/>
        <v>0</v>
      </c>
      <c r="Q69" s="182">
        <f t="shared" si="21"/>
        <v>0</v>
      </c>
      <c r="R69" s="182">
        <f t="shared" si="21"/>
        <v>0</v>
      </c>
      <c r="S69" s="182">
        <f t="shared" si="21"/>
        <v>0</v>
      </c>
      <c r="T69" s="182">
        <f t="shared" si="21"/>
        <v>0</v>
      </c>
      <c r="U69" s="182">
        <f t="shared" si="21"/>
        <v>0</v>
      </c>
    </row>
    <row r="70" spans="1:21" ht="14.4" hidden="1">
      <c r="A70" s="636"/>
      <c r="B70" s="636" t="s">
        <v>660</v>
      </c>
      <c r="C70" s="636" t="s">
        <v>661</v>
      </c>
      <c r="D70" s="636"/>
      <c r="E70" s="636"/>
      <c r="F70" s="636"/>
      <c r="G70" s="636"/>
      <c r="H70" s="636"/>
      <c r="I70" s="636"/>
      <c r="J70" s="636"/>
      <c r="K70" s="196"/>
      <c r="L70" s="610"/>
      <c r="M70" s="610"/>
      <c r="N70" s="182"/>
      <c r="O70" s="610">
        <f t="shared" ref="O70:Q70" si="22">+O67+O68-O69</f>
        <v>296818936.66666669</v>
      </c>
      <c r="P70" s="681">
        <f t="shared" si="22"/>
        <v>269193833.33333331</v>
      </c>
      <c r="Q70" s="610">
        <f t="shared" si="22"/>
        <v>252975676.66666666</v>
      </c>
      <c r="R70" s="610">
        <f>+R67+R68-R69</f>
        <v>267326223.33333334</v>
      </c>
      <c r="S70" s="610">
        <f>+S67+S68-S69</f>
        <v>281781360</v>
      </c>
      <c r="T70" s="610">
        <f>+T67+T68-T69</f>
        <v>283381737.56666666</v>
      </c>
      <c r="U70" s="610">
        <f>+U67+U68-U69</f>
        <v>284982115.13333333</v>
      </c>
    </row>
    <row r="71" spans="1:21" ht="14.4" hidden="1">
      <c r="A71" s="636"/>
      <c r="B71" s="636" t="s">
        <v>662</v>
      </c>
      <c r="C71" s="636" t="s">
        <v>663</v>
      </c>
      <c r="D71" s="636"/>
      <c r="E71" s="636"/>
      <c r="F71" s="636"/>
      <c r="G71" s="636"/>
      <c r="H71" s="636"/>
      <c r="I71" s="636"/>
      <c r="J71" s="636"/>
      <c r="K71" s="196"/>
      <c r="L71" s="182"/>
      <c r="M71" s="182"/>
      <c r="N71" s="182"/>
      <c r="O71" s="182">
        <f t="shared" ref="O71:Q71" si="23">IF((O68-O69)&gt;(0.3*O70),(O68-O69)-(0.3*O70),0)</f>
        <v>0</v>
      </c>
      <c r="P71" s="182">
        <f t="shared" si="23"/>
        <v>0</v>
      </c>
      <c r="Q71" s="182">
        <f t="shared" si="23"/>
        <v>0</v>
      </c>
      <c r="R71" s="182">
        <f>IF((R68-R69)&gt;(0.3*R70),(R68-R69)-(0.3*R70),0)</f>
        <v>0</v>
      </c>
      <c r="S71" s="182">
        <f>IF((S68-S69)&gt;(0.3*S70),(S68-S69)-(0.3*S70),0)</f>
        <v>0</v>
      </c>
      <c r="T71" s="182">
        <f>IF((T68-T69)&gt;(0.3*T70),(T68-T69)-(0.3*T70),0)</f>
        <v>0</v>
      </c>
      <c r="U71" s="182">
        <f>IF((U68-U69)&gt;(0.3*U70),(U68-U69)-(0.3*U70),0)</f>
        <v>0</v>
      </c>
    </row>
    <row r="72" spans="1:21" ht="14.4" hidden="1">
      <c r="A72" s="636"/>
      <c r="B72" s="636" t="s">
        <v>664</v>
      </c>
      <c r="C72" s="636" t="s">
        <v>768</v>
      </c>
      <c r="D72" s="636"/>
      <c r="E72" s="636"/>
      <c r="F72" s="636"/>
      <c r="G72" s="636"/>
      <c r="H72" s="636"/>
      <c r="I72" s="636"/>
      <c r="J72" s="636"/>
      <c r="K72" s="196"/>
      <c r="L72" s="723">
        <v>314309260</v>
      </c>
      <c r="M72" s="723">
        <v>316043840</v>
      </c>
      <c r="N72" s="181">
        <v>321539553</v>
      </c>
      <c r="O72" s="182">
        <f t="shared" ref="O72:Q72" si="24">+O67-O71</f>
        <v>296818936.66666669</v>
      </c>
      <c r="P72" s="182">
        <f t="shared" si="24"/>
        <v>269193833.33333331</v>
      </c>
      <c r="Q72" s="182">
        <f t="shared" si="24"/>
        <v>252975676.66666666</v>
      </c>
      <c r="R72" s="182">
        <f>+R67-R71</f>
        <v>267326223.33333334</v>
      </c>
      <c r="S72" s="182">
        <f>+S67-S71</f>
        <v>281781360</v>
      </c>
      <c r="T72" s="182">
        <f>+T67-T71</f>
        <v>283381737.56666666</v>
      </c>
      <c r="U72" s="182">
        <f>+U67-U71</f>
        <v>284982115.13333333</v>
      </c>
    </row>
    <row r="73" spans="1:21" ht="14.4" hidden="1">
      <c r="A73" s="636"/>
      <c r="B73" s="636"/>
      <c r="C73" s="636"/>
      <c r="D73" s="636"/>
      <c r="E73" s="636"/>
      <c r="F73" s="636"/>
      <c r="G73" s="636"/>
      <c r="H73" s="636"/>
      <c r="I73" s="636"/>
      <c r="J73" s="63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</row>
    <row r="74" spans="1:21" ht="14.4" hidden="1">
      <c r="A74" s="636"/>
      <c r="B74" s="636" t="s">
        <v>666</v>
      </c>
      <c r="C74" s="636" t="s">
        <v>665</v>
      </c>
      <c r="D74" s="636"/>
      <c r="E74" s="636"/>
      <c r="F74" s="636"/>
      <c r="G74" s="636"/>
      <c r="H74" s="636"/>
      <c r="I74" s="636"/>
      <c r="J74" s="636"/>
      <c r="K74" s="196"/>
      <c r="L74" s="181">
        <v>27963</v>
      </c>
      <c r="M74" s="181">
        <v>27963</v>
      </c>
      <c r="N74" s="181">
        <v>27963</v>
      </c>
      <c r="O74" s="182">
        <f t="shared" ref="O74:U75" si="25">+N74</f>
        <v>27963</v>
      </c>
      <c r="P74" s="182">
        <f t="shared" si="25"/>
        <v>27963</v>
      </c>
      <c r="Q74" s="182">
        <f t="shared" si="25"/>
        <v>27963</v>
      </c>
      <c r="R74" s="182">
        <f t="shared" si="25"/>
        <v>27963</v>
      </c>
      <c r="S74" s="182">
        <f t="shared" si="25"/>
        <v>27963</v>
      </c>
      <c r="T74" s="182">
        <f t="shared" si="25"/>
        <v>27963</v>
      </c>
      <c r="U74" s="182">
        <f t="shared" si="25"/>
        <v>27963</v>
      </c>
    </row>
    <row r="75" spans="1:21" ht="14.4" hidden="1">
      <c r="A75" s="636"/>
      <c r="B75" s="636" t="s">
        <v>776</v>
      </c>
      <c r="C75" s="636" t="s">
        <v>848</v>
      </c>
      <c r="D75" s="636"/>
      <c r="E75" s="636"/>
      <c r="F75" s="636"/>
      <c r="G75" s="636"/>
      <c r="H75" s="636"/>
      <c r="I75" s="636"/>
      <c r="J75" s="636"/>
      <c r="K75" s="196"/>
      <c r="L75" s="181"/>
      <c r="M75" s="181">
        <v>415500203</v>
      </c>
      <c r="N75" s="181">
        <v>415500203</v>
      </c>
      <c r="O75" s="449">
        <f t="shared" si="25"/>
        <v>415500203</v>
      </c>
      <c r="P75" s="449">
        <v>656606321</v>
      </c>
      <c r="Q75" s="449">
        <f t="shared" si="25"/>
        <v>656606321</v>
      </c>
      <c r="R75" s="449">
        <f t="shared" si="25"/>
        <v>656606321</v>
      </c>
      <c r="S75" s="449">
        <f t="shared" si="25"/>
        <v>656606321</v>
      </c>
      <c r="T75" s="449">
        <f t="shared" si="25"/>
        <v>656606321</v>
      </c>
      <c r="U75" s="449">
        <f t="shared" si="25"/>
        <v>656606321</v>
      </c>
    </row>
    <row r="76" spans="1:21" ht="14.4" hidden="1">
      <c r="A76" s="636"/>
      <c r="B76" s="636" t="s">
        <v>749</v>
      </c>
      <c r="C76" s="636" t="s">
        <v>849</v>
      </c>
      <c r="D76" s="636"/>
      <c r="E76" s="636"/>
      <c r="F76" s="636"/>
      <c r="G76" s="636"/>
      <c r="H76" s="636"/>
      <c r="I76" s="636"/>
      <c r="J76" s="636"/>
      <c r="K76" s="196"/>
      <c r="L76" s="181"/>
      <c r="M76" s="181">
        <v>410811104</v>
      </c>
      <c r="N76" s="181">
        <v>410811104</v>
      </c>
      <c r="O76" s="449">
        <f t="shared" ref="O76:U77" si="26">+N76</f>
        <v>410811104</v>
      </c>
      <c r="P76" s="449">
        <v>634734497</v>
      </c>
      <c r="Q76" s="449">
        <f t="shared" si="26"/>
        <v>634734497</v>
      </c>
      <c r="R76" s="449">
        <f t="shared" si="26"/>
        <v>634734497</v>
      </c>
      <c r="S76" s="449">
        <f t="shared" si="26"/>
        <v>634734497</v>
      </c>
      <c r="T76" s="449">
        <f t="shared" si="26"/>
        <v>634734497</v>
      </c>
      <c r="U76" s="449">
        <f t="shared" si="26"/>
        <v>634734497</v>
      </c>
    </row>
    <row r="77" spans="1:21" ht="14.4" hidden="1">
      <c r="A77" s="636"/>
      <c r="B77" s="636" t="s">
        <v>750</v>
      </c>
      <c r="C77" s="636" t="s">
        <v>777</v>
      </c>
      <c r="D77" s="636"/>
      <c r="E77" s="636"/>
      <c r="F77" s="636"/>
      <c r="G77" s="636"/>
      <c r="H77" s="636"/>
      <c r="I77" s="636"/>
      <c r="J77" s="636"/>
      <c r="K77" s="196"/>
      <c r="L77" s="181"/>
      <c r="M77" s="181">
        <v>409642604</v>
      </c>
      <c r="N77" s="181">
        <v>409642604</v>
      </c>
      <c r="O77" s="449">
        <f t="shared" si="26"/>
        <v>409642604</v>
      </c>
      <c r="P77" s="449">
        <v>623524668</v>
      </c>
      <c r="Q77" s="449">
        <f t="shared" si="26"/>
        <v>623524668</v>
      </c>
      <c r="R77" s="449">
        <f t="shared" si="26"/>
        <v>623524668</v>
      </c>
      <c r="S77" s="449">
        <f t="shared" si="26"/>
        <v>623524668</v>
      </c>
      <c r="T77" s="449">
        <f t="shared" si="26"/>
        <v>623524668</v>
      </c>
      <c r="U77" s="449">
        <f t="shared" si="26"/>
        <v>623524668</v>
      </c>
    </row>
    <row r="78" spans="1:21" ht="14.4" hidden="1">
      <c r="A78" s="636"/>
      <c r="B78" s="636" t="s">
        <v>751</v>
      </c>
      <c r="C78" s="636" t="s">
        <v>778</v>
      </c>
      <c r="D78" s="636"/>
      <c r="E78" s="636"/>
      <c r="F78" s="636"/>
      <c r="G78" s="636"/>
      <c r="H78" s="636"/>
      <c r="I78" s="636"/>
      <c r="J78" s="636"/>
      <c r="K78" s="196"/>
      <c r="L78" s="449">
        <v>405231269</v>
      </c>
      <c r="M78" s="449">
        <v>411984637</v>
      </c>
      <c r="N78" s="449">
        <v>411984637</v>
      </c>
      <c r="O78" s="449">
        <f t="shared" ref="O78:Q78" si="27">AVERAGE(O75:O77)</f>
        <v>411984637</v>
      </c>
      <c r="P78" s="449">
        <f t="shared" si="27"/>
        <v>638288495.33333337</v>
      </c>
      <c r="Q78" s="449">
        <f t="shared" si="27"/>
        <v>638288495.33333337</v>
      </c>
      <c r="R78" s="449">
        <f>AVERAGE(R75:R77)</f>
        <v>638288495.33333337</v>
      </c>
      <c r="S78" s="449">
        <f>AVERAGE(S75:S77)</f>
        <v>638288495.33333337</v>
      </c>
      <c r="T78" s="449">
        <f>AVERAGE(T75:T77)</f>
        <v>638288495.33333337</v>
      </c>
      <c r="U78" s="449">
        <f>AVERAGE(U75:U77)</f>
        <v>638288495.33333337</v>
      </c>
    </row>
    <row r="79" spans="1:21" ht="14.4" hidden="1">
      <c r="A79" s="636"/>
      <c r="B79" s="636"/>
      <c r="C79" s="636"/>
      <c r="D79" s="636"/>
      <c r="E79" s="636"/>
      <c r="F79" s="636"/>
      <c r="G79" s="636"/>
      <c r="H79" s="636"/>
      <c r="I79" s="636"/>
      <c r="J79" s="63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</row>
    <row r="80" spans="1:21" ht="14.4" hidden="1">
      <c r="A80" s="636"/>
      <c r="B80" s="636" t="s">
        <v>667</v>
      </c>
      <c r="C80" s="636"/>
      <c r="D80" s="636"/>
      <c r="E80" s="636"/>
      <c r="F80" s="636"/>
      <c r="G80" s="636"/>
      <c r="H80" s="636"/>
      <c r="I80" s="636"/>
      <c r="J80" s="63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</row>
    <row r="81" spans="1:21" ht="14.4" hidden="1">
      <c r="A81" s="636"/>
      <c r="B81" s="636" t="s">
        <v>668</v>
      </c>
      <c r="C81" s="636" t="s">
        <v>669</v>
      </c>
      <c r="D81" s="636"/>
      <c r="E81" s="636"/>
      <c r="F81" s="636"/>
      <c r="G81" s="636"/>
      <c r="H81" s="636"/>
      <c r="I81" s="636"/>
      <c r="J81" s="636"/>
      <c r="K81" s="196"/>
      <c r="L81" s="196">
        <v>0.68166277335000203</v>
      </c>
      <c r="M81" s="196">
        <v>0.67090509796784181</v>
      </c>
      <c r="N81" s="196">
        <v>0.67733124598963834</v>
      </c>
      <c r="O81" s="196">
        <f t="shared" ref="O81:U81" si="28">+(O72/N20)/(O15/O16)</f>
        <v>0.59992672629217625</v>
      </c>
      <c r="P81" s="196">
        <f t="shared" si="28"/>
        <v>0.5551151830083273</v>
      </c>
      <c r="Q81" s="196">
        <f t="shared" si="28"/>
        <v>0.52334172598983719</v>
      </c>
      <c r="R81" s="196">
        <f t="shared" si="28"/>
        <v>0.55480607804963056</v>
      </c>
      <c r="S81" s="196">
        <f t="shared" si="28"/>
        <v>0.58669102175603771</v>
      </c>
      <c r="T81" s="196">
        <f t="shared" si="28"/>
        <v>0.59193100111108266</v>
      </c>
      <c r="U81" s="196">
        <f t="shared" si="28"/>
        <v>0.59720497782778614</v>
      </c>
    </row>
    <row r="82" spans="1:21" ht="14.4" hidden="1">
      <c r="A82" s="636"/>
      <c r="B82" s="636" t="s">
        <v>670</v>
      </c>
      <c r="C82" s="636" t="s">
        <v>665</v>
      </c>
      <c r="D82" s="636"/>
      <c r="E82" s="636"/>
      <c r="F82" s="636"/>
      <c r="G82" s="636"/>
      <c r="H82" s="636"/>
      <c r="I82" s="636"/>
      <c r="J82" s="636"/>
      <c r="K82" s="196"/>
      <c r="L82" s="196">
        <v>0.85063730112858582</v>
      </c>
      <c r="M82" s="196">
        <v>0.82774850512107034</v>
      </c>
      <c r="N82" s="196">
        <v>0.82774850512107034</v>
      </c>
      <c r="O82" s="196">
        <f t="shared" ref="O82:Q82" si="29">+O74/O14</f>
        <v>0.82774850512107034</v>
      </c>
      <c r="P82" s="196">
        <f t="shared" si="29"/>
        <v>0.82774850512107034</v>
      </c>
      <c r="Q82" s="196">
        <f t="shared" si="29"/>
        <v>0.82774850512107034</v>
      </c>
      <c r="R82" s="196">
        <f>+R74/R14</f>
        <v>0.82774850512107034</v>
      </c>
      <c r="S82" s="196">
        <f>+S74/S14</f>
        <v>0.82774850512107034</v>
      </c>
      <c r="T82" s="196">
        <f>+T74/T14</f>
        <v>0.82774850512107034</v>
      </c>
      <c r="U82" s="196">
        <f>+U74/U14</f>
        <v>0.82774850512107034</v>
      </c>
    </row>
    <row r="83" spans="1:21" ht="14.4" hidden="1">
      <c r="A83" s="636"/>
      <c r="B83" s="636" t="s">
        <v>671</v>
      </c>
      <c r="C83" s="636" t="s">
        <v>779</v>
      </c>
      <c r="D83" s="636"/>
      <c r="E83" s="636"/>
      <c r="F83" s="636"/>
      <c r="G83" s="636"/>
      <c r="H83" s="636"/>
      <c r="I83" s="636"/>
      <c r="J83" s="636"/>
      <c r="K83" s="196"/>
      <c r="L83" s="447">
        <v>0.77270751397289716</v>
      </c>
      <c r="M83" s="636">
        <v>0.75690134452702351</v>
      </c>
      <c r="N83" s="636">
        <v>0.75506218169353212</v>
      </c>
      <c r="O83" s="636">
        <f t="shared" ref="O83:U83" si="30">+(O82*0.5)+((O78/N25)/(O17/O12))*0.5</f>
        <v>0.74226908346321196</v>
      </c>
      <c r="P83" s="636">
        <f t="shared" si="30"/>
        <v>0.94641581273191711</v>
      </c>
      <c r="Q83" s="636">
        <f t="shared" si="30"/>
        <v>0.94816549226220292</v>
      </c>
      <c r="R83" s="636">
        <f t="shared" si="30"/>
        <v>0.94992670692921699</v>
      </c>
      <c r="S83" s="636">
        <f t="shared" si="30"/>
        <v>0.95169957118201021</v>
      </c>
      <c r="T83" s="636">
        <f t="shared" si="30"/>
        <v>0.95348420098870812</v>
      </c>
      <c r="U83" s="636">
        <f t="shared" si="30"/>
        <v>0.9552807138617978</v>
      </c>
    </row>
    <row r="84" spans="1:21" ht="14.4" hidden="1">
      <c r="A84" s="636"/>
      <c r="B84" s="636" t="s">
        <v>671</v>
      </c>
      <c r="C84" s="636" t="s">
        <v>672</v>
      </c>
      <c r="D84" s="636"/>
      <c r="E84" s="636"/>
      <c r="F84" s="636"/>
      <c r="G84" s="636"/>
      <c r="H84" s="636"/>
      <c r="I84" s="636"/>
      <c r="J84" s="636"/>
      <c r="K84" s="196"/>
      <c r="L84" s="196">
        <v>0.68166277335000203</v>
      </c>
      <c r="M84" s="196">
        <v>0.67090509796784181</v>
      </c>
      <c r="N84" s="196">
        <v>0.67733124598963834</v>
      </c>
      <c r="O84" s="196">
        <f t="shared" ref="O84:R84" si="31">IF((O83&lt;O81)+(O82&lt;=1.5),O81,0.4*O83+0.6*O81)</f>
        <v>0.59992672629217625</v>
      </c>
      <c r="P84" s="196">
        <f t="shared" si="31"/>
        <v>0.5551151830083273</v>
      </c>
      <c r="Q84" s="196">
        <f t="shared" si="31"/>
        <v>0.52334172598983719</v>
      </c>
      <c r="R84" s="196">
        <f t="shared" si="31"/>
        <v>0.55480607804963056</v>
      </c>
      <c r="S84" s="196">
        <f t="shared" ref="S84:T84" si="32">IF((S83&lt;S81)+(S82&lt;=1.5),S81,0.4*S83+0.6*S81)</f>
        <v>0.58669102175603771</v>
      </c>
      <c r="T84" s="196">
        <f t="shared" si="32"/>
        <v>0.59193100111108266</v>
      </c>
      <c r="U84" s="196">
        <f t="shared" ref="U84" si="33">IF((U83&lt;U81)+(U82&lt;=1.5),U81,0.4*U83+0.6*U81)</f>
        <v>0.59720497782778614</v>
      </c>
    </row>
    <row r="85" spans="1:21" ht="14.4" hidden="1">
      <c r="A85" s="636"/>
      <c r="B85" s="639" t="s">
        <v>673</v>
      </c>
      <c r="C85" s="636" t="s">
        <v>674</v>
      </c>
      <c r="D85" s="636"/>
      <c r="E85" s="636"/>
      <c r="F85" s="636"/>
      <c r="G85" s="636"/>
      <c r="H85" s="636"/>
      <c r="I85" s="636"/>
      <c r="J85" s="636"/>
      <c r="K85" s="196" t="s">
        <v>678</v>
      </c>
      <c r="L85" s="34">
        <v>0.65572112599999999</v>
      </c>
      <c r="M85" s="34">
        <v>0.66661447399999996</v>
      </c>
      <c r="N85" s="34">
        <v>0.66661447399999996</v>
      </c>
      <c r="O85" s="151">
        <f>O86</f>
        <v>0.71823510815114455</v>
      </c>
      <c r="P85" s="151">
        <v>0.45936311699999999</v>
      </c>
      <c r="Q85" s="151">
        <f>Q86</f>
        <v>0.77393329018920931</v>
      </c>
      <c r="R85" s="151">
        <f>R86</f>
        <v>0.75105012505481417</v>
      </c>
      <c r="S85" s="151">
        <f>S86</f>
        <v>0.72786107508651798</v>
      </c>
      <c r="T85" s="151">
        <f>T86</f>
        <v>0.72405018101012164</v>
      </c>
      <c r="U85" s="151">
        <f>U86</f>
        <v>0.72021456157979191</v>
      </c>
    </row>
    <row r="86" spans="1:21" ht="14.4" hidden="1">
      <c r="A86" s="636"/>
      <c r="B86" s="636"/>
      <c r="C86" s="636"/>
      <c r="D86" s="636"/>
      <c r="E86" s="636"/>
      <c r="F86" s="636"/>
      <c r="G86" s="636"/>
      <c r="H86" s="636"/>
      <c r="I86" s="636"/>
      <c r="J86" s="636"/>
      <c r="K86" s="196" t="s">
        <v>677</v>
      </c>
      <c r="L86" s="188">
        <v>0.65879071029090763</v>
      </c>
      <c r="M86" s="188">
        <v>0.66661447420520603</v>
      </c>
      <c r="N86" s="188">
        <v>0.6619409120075358</v>
      </c>
      <c r="O86" s="188">
        <f t="shared" ref="O86:Q86" si="34">IF(O84&lt;=0.35,0.9,(IF(O84&gt;1.8,0.05,IF(O84&lt;0.9,(0.4*((0.9-O84)/0.55))+0.5,(0.45*(1.8-O84)/0.9)+0.05))))</f>
        <v>0.71823510815114455</v>
      </c>
      <c r="P86" s="188">
        <f t="shared" si="34"/>
        <v>0.75082532144848924</v>
      </c>
      <c r="Q86" s="188">
        <f t="shared" si="34"/>
        <v>0.77393329018920931</v>
      </c>
      <c r="R86" s="188">
        <f>IF(R84&lt;=0.35,0.9,(IF(R84&gt;1.8,0.05,IF(R84&lt;0.9,(0.4*((0.9-R84)/0.55))+0.5,(0.45*(1.8-R84)/0.9)+0.05))))</f>
        <v>0.75105012505481417</v>
      </c>
      <c r="S86" s="188">
        <f>IF(S84&lt;=0.35,0.9,(IF(S84&gt;1.8,0.05,IF(S84&lt;0.9,(0.4*((0.9-S84)/0.55))+0.5,(0.45*(1.8-S84)/0.9)+0.05))))</f>
        <v>0.72786107508651798</v>
      </c>
      <c r="T86" s="188">
        <f>IF(T84&lt;=0.35,0.9,(IF(T84&gt;1.8,0.05,IF(T84&lt;0.9,(0.4*((0.9-T84)/0.55))+0.5,(0.45*(1.8-T84)/0.9)+0.05))))</f>
        <v>0.72405018101012164</v>
      </c>
      <c r="U86" s="188">
        <f>IF(U84&lt;=0.35,0.9,(IF(U84&gt;1.8,0.05,IF(U84&lt;0.9,(0.4*((0.9-U84)/0.55))+0.5,(0.45*(1.8-U84)/0.9)+0.05))))</f>
        <v>0.72021456157979191</v>
      </c>
    </row>
    <row r="87" spans="1:21" ht="14.4" hidden="1">
      <c r="A87" s="636" t="s">
        <v>813</v>
      </c>
      <c r="B87" s="636" t="s">
        <v>638</v>
      </c>
      <c r="C87" s="636"/>
      <c r="D87" s="636"/>
      <c r="E87" s="636"/>
      <c r="F87" s="636"/>
      <c r="G87" s="636"/>
      <c r="H87" s="636"/>
      <c r="I87" s="636"/>
      <c r="J87" s="636"/>
      <c r="K87" s="196"/>
      <c r="L87" s="196">
        <v>1.6417928075904116</v>
      </c>
      <c r="M87" s="196">
        <v>0.36683545531006845</v>
      </c>
      <c r="N87" s="196">
        <v>0.36577612020623251</v>
      </c>
      <c r="O87" s="196">
        <f t="shared" ref="O87:Q87" si="35">(O54/O13)^2</f>
        <v>0.399745885586199</v>
      </c>
      <c r="P87" s="196">
        <f t="shared" si="35"/>
        <v>0.40231034173904784</v>
      </c>
      <c r="Q87" s="196">
        <f t="shared" si="35"/>
        <v>0.40489955459013405</v>
      </c>
      <c r="R87" s="196">
        <f>(R54/R13)^2</f>
        <v>0.40751384382891093</v>
      </c>
      <c r="S87" s="196">
        <f>(S54/S13)^2</f>
        <v>0.41015353432182794</v>
      </c>
      <c r="T87" s="196">
        <f>(T54/T13)^2</f>
        <v>0.41281895621325948</v>
      </c>
      <c r="U87" s="196">
        <f>(U54/U13)^2</f>
        <v>0.41551044502873835</v>
      </c>
    </row>
    <row r="88" spans="1:21" ht="14.4" hidden="1">
      <c r="A88" s="636" t="s">
        <v>689</v>
      </c>
      <c r="B88" s="636" t="s">
        <v>684</v>
      </c>
      <c r="C88" s="636"/>
      <c r="D88" s="636"/>
      <c r="E88" s="636"/>
      <c r="F88" s="636"/>
      <c r="G88" s="636"/>
      <c r="H88" s="636"/>
      <c r="I88" s="636"/>
      <c r="J88" s="636"/>
      <c r="K88" s="196"/>
      <c r="L88" s="122">
        <v>314309260</v>
      </c>
      <c r="M88" s="611">
        <v>316043840</v>
      </c>
      <c r="N88" s="611">
        <v>321539553</v>
      </c>
      <c r="O88" s="611">
        <f t="shared" ref="O88:R88" si="36">O72</f>
        <v>296818936.66666669</v>
      </c>
      <c r="P88" s="611">
        <f t="shared" si="36"/>
        <v>269193833.33333331</v>
      </c>
      <c r="Q88" s="611">
        <f t="shared" si="36"/>
        <v>252975676.66666666</v>
      </c>
      <c r="R88" s="611">
        <f t="shared" si="36"/>
        <v>267326223.33333334</v>
      </c>
      <c r="S88" s="611">
        <f t="shared" ref="S88:T88" si="37">S72</f>
        <v>281781360</v>
      </c>
      <c r="T88" s="611">
        <f t="shared" si="37"/>
        <v>283381737.56666666</v>
      </c>
      <c r="U88" s="611">
        <f t="shared" ref="U88" si="38">U72</f>
        <v>284982115.13333333</v>
      </c>
    </row>
    <row r="89" spans="1:21" hidden="1">
      <c r="A89" s="126" t="s">
        <v>780</v>
      </c>
      <c r="B89" s="126" t="s">
        <v>781</v>
      </c>
      <c r="C89" s="126"/>
      <c r="D89" s="126"/>
      <c r="E89" s="126"/>
      <c r="F89" s="126"/>
      <c r="G89" s="126"/>
      <c r="H89" s="126"/>
      <c r="I89" s="126"/>
      <c r="J89" s="126"/>
      <c r="K89" s="126"/>
      <c r="L89" s="159"/>
      <c r="M89" s="159"/>
      <c r="N89" s="159"/>
      <c r="O89" s="159"/>
      <c r="P89" s="159"/>
      <c r="Q89" s="159"/>
      <c r="R89" s="159"/>
      <c r="S89" s="159"/>
      <c r="T89" s="159"/>
      <c r="U89" s="159"/>
    </row>
    <row r="90" spans="1:21" ht="14.4" hidden="1">
      <c r="A90" s="126"/>
      <c r="B90" s="126" t="s">
        <v>782</v>
      </c>
      <c r="C90" s="126" t="s">
        <v>783</v>
      </c>
      <c r="D90" s="126"/>
      <c r="E90" s="126"/>
      <c r="F90" s="126"/>
      <c r="G90" s="126"/>
      <c r="H90" s="126"/>
      <c r="I90" s="126"/>
      <c r="J90" s="126"/>
      <c r="K90" s="126"/>
      <c r="L90" s="724">
        <v>0.94</v>
      </c>
      <c r="M90" s="724">
        <v>0.90300000000000002</v>
      </c>
      <c r="N90" s="724">
        <v>0.90900000000000003</v>
      </c>
      <c r="O90" s="159">
        <f t="shared" ref="O90:U91" si="39">+N90</f>
        <v>0.90900000000000003</v>
      </c>
      <c r="P90" s="159">
        <v>0.96799999999999997</v>
      </c>
      <c r="Q90" s="159">
        <f t="shared" si="39"/>
        <v>0.96799999999999997</v>
      </c>
      <c r="R90" s="159">
        <f t="shared" si="39"/>
        <v>0.96799999999999997</v>
      </c>
      <c r="S90" s="159">
        <f t="shared" si="39"/>
        <v>0.96799999999999997</v>
      </c>
      <c r="T90" s="159">
        <f t="shared" si="39"/>
        <v>0.96799999999999997</v>
      </c>
      <c r="U90" s="159">
        <f t="shared" si="39"/>
        <v>0.96799999999999997</v>
      </c>
    </row>
    <row r="91" spans="1:21" ht="14.4" hidden="1">
      <c r="A91" s="126"/>
      <c r="B91" s="126" t="s">
        <v>784</v>
      </c>
      <c r="C91" s="126" t="s">
        <v>785</v>
      </c>
      <c r="D91" s="126"/>
      <c r="E91" s="126"/>
      <c r="F91" s="126"/>
      <c r="G91" s="126"/>
      <c r="H91" s="126"/>
      <c r="I91" s="126"/>
      <c r="J91" s="126"/>
      <c r="K91" s="126"/>
      <c r="L91" s="725">
        <v>219</v>
      </c>
      <c r="M91" s="725">
        <v>186</v>
      </c>
      <c r="N91" s="725">
        <v>221</v>
      </c>
      <c r="O91" s="159">
        <f t="shared" si="39"/>
        <v>221</v>
      </c>
      <c r="P91" s="159">
        <v>240</v>
      </c>
      <c r="Q91" s="159">
        <f t="shared" si="39"/>
        <v>240</v>
      </c>
      <c r="R91" s="159">
        <f t="shared" si="39"/>
        <v>240</v>
      </c>
      <c r="S91" s="159">
        <f t="shared" si="39"/>
        <v>240</v>
      </c>
      <c r="T91" s="159">
        <f t="shared" si="39"/>
        <v>240</v>
      </c>
      <c r="U91" s="159">
        <f t="shared" si="39"/>
        <v>240</v>
      </c>
    </row>
    <row r="92" spans="1:21" ht="14.4" hidden="1">
      <c r="A92" s="126" t="s">
        <v>786</v>
      </c>
      <c r="B92" s="126" t="s">
        <v>787</v>
      </c>
      <c r="C92" s="126"/>
      <c r="D92" s="126"/>
      <c r="E92" s="126"/>
      <c r="F92" s="126"/>
      <c r="G92" s="126"/>
      <c r="H92" s="126"/>
      <c r="I92" s="126"/>
      <c r="J92" s="126"/>
      <c r="K92" s="126"/>
      <c r="L92" s="449"/>
      <c r="M92" s="449"/>
      <c r="N92" s="449"/>
      <c r="O92" s="159"/>
      <c r="P92" s="159"/>
      <c r="Q92" s="159"/>
      <c r="R92" s="159"/>
      <c r="S92" s="159"/>
      <c r="T92" s="159"/>
      <c r="U92" s="159"/>
    </row>
    <row r="93" spans="1:21" ht="14.4" hidden="1">
      <c r="A93" s="126"/>
      <c r="B93" s="126" t="s">
        <v>788</v>
      </c>
      <c r="C93" s="126" t="s">
        <v>789</v>
      </c>
      <c r="D93" s="126"/>
      <c r="E93" s="126"/>
      <c r="F93" s="126"/>
      <c r="G93" s="126"/>
      <c r="H93" s="126"/>
      <c r="I93" s="126"/>
      <c r="J93" s="126"/>
      <c r="K93" s="126"/>
      <c r="L93" s="724">
        <v>0.54100000000000004</v>
      </c>
      <c r="M93" s="724">
        <v>0.65900000000000003</v>
      </c>
      <c r="N93" s="724">
        <v>0.59299999999999997</v>
      </c>
      <c r="O93" s="159">
        <f t="shared" ref="O93:U94" si="40">+N93</f>
        <v>0.59299999999999997</v>
      </c>
      <c r="P93" s="159">
        <v>0.76400000000000001</v>
      </c>
      <c r="Q93" s="159">
        <f t="shared" si="40"/>
        <v>0.76400000000000001</v>
      </c>
      <c r="R93" s="159">
        <f t="shared" si="40"/>
        <v>0.76400000000000001</v>
      </c>
      <c r="S93" s="159">
        <f t="shared" si="40"/>
        <v>0.76400000000000001</v>
      </c>
      <c r="T93" s="159">
        <f t="shared" si="40"/>
        <v>0.76400000000000001</v>
      </c>
      <c r="U93" s="159">
        <f t="shared" si="40"/>
        <v>0.76400000000000001</v>
      </c>
    </row>
    <row r="94" spans="1:21" ht="14.4" hidden="1">
      <c r="A94" s="126"/>
      <c r="B94" s="126" t="s">
        <v>790</v>
      </c>
      <c r="C94" s="126" t="s">
        <v>791</v>
      </c>
      <c r="D94" s="126"/>
      <c r="E94" s="126"/>
      <c r="F94" s="126"/>
      <c r="G94" s="126"/>
      <c r="H94" s="126"/>
      <c r="I94" s="126"/>
      <c r="J94" s="126"/>
      <c r="K94" s="126"/>
      <c r="L94" s="725">
        <v>131</v>
      </c>
      <c r="M94" s="725">
        <v>151</v>
      </c>
      <c r="N94" s="725">
        <v>128</v>
      </c>
      <c r="O94" s="159">
        <f t="shared" si="40"/>
        <v>128</v>
      </c>
      <c r="P94" s="159">
        <v>188</v>
      </c>
      <c r="Q94" s="159">
        <f t="shared" si="40"/>
        <v>188</v>
      </c>
      <c r="R94" s="159">
        <f t="shared" si="40"/>
        <v>188</v>
      </c>
      <c r="S94" s="159">
        <f t="shared" si="40"/>
        <v>188</v>
      </c>
      <c r="T94" s="159">
        <f t="shared" si="40"/>
        <v>188</v>
      </c>
      <c r="U94" s="159">
        <f t="shared" si="40"/>
        <v>188</v>
      </c>
    </row>
    <row r="95" spans="1:21" ht="14.4" hidden="1">
      <c r="A95" s="636"/>
      <c r="B95" s="636"/>
      <c r="C95" s="636"/>
      <c r="D95" s="636"/>
      <c r="E95" s="636"/>
      <c r="F95" s="636"/>
      <c r="G95" s="636"/>
      <c r="H95" s="636"/>
      <c r="I95" s="636"/>
      <c r="J95" s="636"/>
      <c r="K95" s="636"/>
    </row>
    <row r="96" spans="1:21" ht="14.4" hidden="1">
      <c r="A96" s="636"/>
      <c r="B96" s="636" t="s">
        <v>250</v>
      </c>
      <c r="C96" s="636"/>
      <c r="D96" s="636"/>
      <c r="E96" s="636"/>
      <c r="F96" s="636"/>
      <c r="G96" s="636"/>
      <c r="H96" s="636"/>
      <c r="I96" s="636"/>
      <c r="J96" s="636"/>
      <c r="K96" s="196"/>
    </row>
    <row r="97" spans="1:21" ht="14.4" hidden="1">
      <c r="A97" s="636"/>
      <c r="B97" s="636" t="s">
        <v>308</v>
      </c>
      <c r="C97" s="636"/>
      <c r="D97" s="636"/>
      <c r="E97" s="636"/>
      <c r="F97" s="636"/>
      <c r="G97" s="636"/>
      <c r="H97" s="636"/>
      <c r="I97" s="636"/>
      <c r="J97" s="636"/>
      <c r="K97" s="196"/>
    </row>
    <row r="98" spans="1:21" ht="14.4" hidden="1">
      <c r="A98" s="636"/>
      <c r="B98" s="636" t="s">
        <v>498</v>
      </c>
      <c r="C98" s="636"/>
      <c r="D98" s="636"/>
      <c r="E98" s="636"/>
      <c r="F98" s="636"/>
      <c r="G98" s="636"/>
      <c r="H98" s="636"/>
      <c r="I98" s="636"/>
      <c r="J98" s="636"/>
      <c r="K98" s="196"/>
      <c r="L98" s="450"/>
      <c r="M98" s="450"/>
      <c r="N98" s="450"/>
      <c r="O98" s="450"/>
      <c r="P98" s="450"/>
      <c r="Q98" s="450"/>
      <c r="R98" s="450"/>
      <c r="S98" s="450"/>
      <c r="T98" s="450"/>
      <c r="U98" s="450"/>
    </row>
    <row r="99" spans="1:21" ht="25.8">
      <c r="A99" s="636"/>
      <c r="B99" s="636" t="s">
        <v>839</v>
      </c>
      <c r="C99" s="636"/>
      <c r="D99" s="636"/>
      <c r="E99" s="636"/>
      <c r="F99" s="636"/>
      <c r="G99" s="636"/>
      <c r="H99" s="636"/>
      <c r="I99" s="636"/>
      <c r="J99" s="636"/>
      <c r="K99" s="196"/>
      <c r="L99" s="451">
        <v>2017</v>
      </c>
      <c r="M99" s="451">
        <v>2018</v>
      </c>
      <c r="N99" s="451">
        <v>2019</v>
      </c>
      <c r="O99" s="451">
        <f t="shared" ref="O99:Q99" si="41">O8</f>
        <v>2020</v>
      </c>
      <c r="P99" s="451">
        <f t="shared" si="41"/>
        <v>2021</v>
      </c>
      <c r="Q99" s="451">
        <f t="shared" si="41"/>
        <v>2022</v>
      </c>
      <c r="R99" s="451">
        <f>R8</f>
        <v>2023</v>
      </c>
      <c r="S99" s="451">
        <f>S8</f>
        <v>2024</v>
      </c>
      <c r="T99" s="451">
        <f>T8</f>
        <v>2024</v>
      </c>
      <c r="U99" s="451">
        <f>U8</f>
        <v>2026</v>
      </c>
    </row>
    <row r="100" spans="1:21" ht="14.4" hidden="1">
      <c r="A100" s="636"/>
      <c r="B100" s="636" t="s">
        <v>887</v>
      </c>
      <c r="C100" s="636"/>
      <c r="D100" s="636"/>
      <c r="E100" s="636"/>
      <c r="F100" s="636"/>
      <c r="G100" s="636"/>
      <c r="H100" s="636"/>
      <c r="I100" s="636"/>
      <c r="J100" s="636"/>
      <c r="K100" s="196"/>
    </row>
    <row r="101" spans="1:21" ht="14.4" hidden="1">
      <c r="A101" s="636"/>
      <c r="B101" s="636"/>
      <c r="C101" s="636"/>
      <c r="D101" s="636"/>
      <c r="E101" s="636"/>
      <c r="F101" s="636"/>
      <c r="G101" s="636"/>
      <c r="H101" s="636"/>
      <c r="I101" s="636"/>
      <c r="J101" s="636"/>
      <c r="K101" s="196"/>
    </row>
    <row r="102" spans="1:21" ht="14.4" hidden="1">
      <c r="A102" s="636" t="s">
        <v>499</v>
      </c>
      <c r="B102" s="636"/>
      <c r="C102" s="636">
        <v>49452</v>
      </c>
      <c r="D102" s="636"/>
      <c r="E102" s="636"/>
      <c r="F102" s="636"/>
      <c r="G102" s="636"/>
      <c r="H102" s="636"/>
      <c r="I102" s="636"/>
      <c r="J102" s="636"/>
      <c r="K102" s="196"/>
      <c r="L102" s="196"/>
      <c r="M102" s="196"/>
      <c r="N102" s="196"/>
      <c r="O102" s="196"/>
      <c r="P102" s="196"/>
      <c r="Q102" s="196"/>
      <c r="R102" s="196"/>
      <c r="S102" s="196"/>
      <c r="T102" s="196"/>
      <c r="U102" s="196"/>
    </row>
    <row r="103" spans="1:21" ht="15" hidden="1" thickBot="1">
      <c r="A103" s="640" t="s">
        <v>500</v>
      </c>
      <c r="B103" s="640"/>
      <c r="C103" s="640" t="s">
        <v>933</v>
      </c>
      <c r="D103" s="640"/>
      <c r="E103" s="640"/>
      <c r="F103" s="636" t="s">
        <v>250</v>
      </c>
      <c r="G103" s="640"/>
      <c r="H103" s="640"/>
      <c r="I103" s="640"/>
      <c r="J103" s="640"/>
      <c r="K103" s="196"/>
      <c r="L103" s="196"/>
      <c r="M103" s="196"/>
      <c r="N103" s="196"/>
      <c r="O103" s="196"/>
      <c r="P103" s="196"/>
      <c r="Q103" s="196"/>
      <c r="R103" s="196"/>
      <c r="S103" s="196"/>
      <c r="T103" s="196"/>
      <c r="U103" s="196"/>
    </row>
    <row r="104" spans="1:21" ht="15" hidden="1" thickBot="1">
      <c r="A104" s="641" t="s">
        <v>888</v>
      </c>
      <c r="B104" s="642"/>
      <c r="C104" s="642"/>
      <c r="D104" s="642"/>
      <c r="E104" s="642"/>
      <c r="F104" s="642"/>
      <c r="G104" s="642"/>
      <c r="H104" s="642"/>
      <c r="I104" s="642"/>
      <c r="J104" s="642"/>
      <c r="K104" s="452"/>
      <c r="L104" s="197">
        <v>1.6899999999999998E-2</v>
      </c>
      <c r="M104" s="197">
        <v>1.6670000000000001E-3</v>
      </c>
      <c r="N104" s="197">
        <v>1.6670000000000001E-3</v>
      </c>
      <c r="O104" s="197">
        <v>0</v>
      </c>
      <c r="P104" s="197">
        <v>0</v>
      </c>
      <c r="Q104" s="197">
        <v>5.0000000000000001E-3</v>
      </c>
      <c r="R104" s="197">
        <v>5.0000000000000001E-3</v>
      </c>
      <c r="S104" s="197">
        <v>5.0000000000000001E-3</v>
      </c>
      <c r="T104" s="197">
        <v>5.0000000000000001E-3</v>
      </c>
      <c r="U104" s="197">
        <v>5.0000000000000001E-3</v>
      </c>
    </row>
    <row r="105" spans="1:21" ht="21" hidden="1">
      <c r="A105" s="643" t="s">
        <v>501</v>
      </c>
      <c r="B105" s="643"/>
      <c r="C105" s="643"/>
      <c r="D105" s="643"/>
      <c r="E105" s="643"/>
      <c r="F105" s="643"/>
      <c r="G105" s="643"/>
      <c r="H105" s="643"/>
      <c r="I105" s="643"/>
      <c r="J105" s="643"/>
      <c r="K105" s="196" t="s">
        <v>502</v>
      </c>
      <c r="L105" s="453">
        <v>6000</v>
      </c>
      <c r="M105" s="189">
        <v>6010.0020000000004</v>
      </c>
      <c r="N105" s="189">
        <v>6020.020673334001</v>
      </c>
      <c r="O105" s="189">
        <f t="shared" ref="O105:U105" si="42">N105*(1+O104)</f>
        <v>6020.020673334001</v>
      </c>
      <c r="P105" s="189">
        <f t="shared" si="42"/>
        <v>6020.020673334001</v>
      </c>
      <c r="Q105" s="189">
        <f t="shared" si="42"/>
        <v>6050.1207767006699</v>
      </c>
      <c r="R105" s="189">
        <f t="shared" si="42"/>
        <v>6080.3713805841726</v>
      </c>
      <c r="S105" s="189">
        <f t="shared" si="42"/>
        <v>6110.773237487093</v>
      </c>
      <c r="T105" s="189">
        <f t="shared" si="42"/>
        <v>6141.3271036745282</v>
      </c>
      <c r="U105" s="189">
        <f t="shared" si="42"/>
        <v>6172.0337391929006</v>
      </c>
    </row>
    <row r="106" spans="1:21" ht="14.4" hidden="1">
      <c r="A106" s="636" t="s">
        <v>503</v>
      </c>
      <c r="B106" s="190" t="s">
        <v>889</v>
      </c>
      <c r="C106" s="190"/>
      <c r="D106" s="190"/>
      <c r="E106" s="190"/>
      <c r="F106" s="190"/>
      <c r="G106" s="190"/>
      <c r="H106" s="190"/>
      <c r="I106" s="190"/>
      <c r="J106" s="190"/>
      <c r="K106" s="190"/>
      <c r="L106" s="192">
        <v>12736202.574523199</v>
      </c>
      <c r="M106" s="192">
        <v>12716609.31690486</v>
      </c>
      <c r="N106" s="192">
        <v>12833398.348662473</v>
      </c>
      <c r="O106" s="192">
        <f t="shared" ref="O106:Q106" si="43">+O105*(O25+O50)*O85</f>
        <v>13210614.557464844</v>
      </c>
      <c r="P106" s="192">
        <f t="shared" si="43"/>
        <v>8421486.3831152786</v>
      </c>
      <c r="Q106" s="192">
        <f t="shared" si="43"/>
        <v>14212607.835458271</v>
      </c>
      <c r="R106" s="192">
        <f>+R105*(R25+R50)*R85</f>
        <v>13815673.78179023</v>
      </c>
      <c r="S106" s="192">
        <f>+S105*(S25+S50)*S85</f>
        <v>13411575.512016321</v>
      </c>
      <c r="T106" s="192">
        <f>+T105*(T25+T50)*T85</f>
        <v>13363596.429007366</v>
      </c>
      <c r="U106" s="192">
        <f>+U105*(U25+U50)*U85</f>
        <v>13314815.580324266</v>
      </c>
    </row>
    <row r="107" spans="1:21" ht="14.4" hidden="1">
      <c r="A107" s="636" t="s">
        <v>504</v>
      </c>
      <c r="B107" s="190" t="s">
        <v>505</v>
      </c>
      <c r="C107" s="190"/>
      <c r="D107" s="190"/>
      <c r="E107" s="190"/>
      <c r="F107" s="190"/>
      <c r="G107" s="190"/>
      <c r="H107" s="190"/>
      <c r="I107" s="190"/>
      <c r="J107" s="190"/>
      <c r="K107" s="190"/>
      <c r="L107" s="192">
        <v>2136969.1889380477</v>
      </c>
      <c r="M107" s="192">
        <v>2558480.9190479838</v>
      </c>
      <c r="N107" s="192">
        <v>2784525.8657219098</v>
      </c>
      <c r="O107" s="192">
        <f t="shared" ref="O107:Q107" si="44">IF((O112+O115)&lt;0,0,+O112+O115)</f>
        <v>642104.69482466718</v>
      </c>
      <c r="P107" s="192">
        <f t="shared" si="44"/>
        <v>1527492.0054659122</v>
      </c>
      <c r="Q107" s="192">
        <f t="shared" si="44"/>
        <v>1588176.8540673954</v>
      </c>
      <c r="R107" s="192">
        <f>IF((R112+R115)&lt;0,0,+R112+R115)</f>
        <v>1499286.026040128</v>
      </c>
      <c r="S107" s="192">
        <f>IF((S112+S115)&lt;0,0,+S112+S115)</f>
        <v>1413126.6927763938</v>
      </c>
      <c r="T107" s="192">
        <f>IF((T112+T115)&lt;0,0,+T112+T115)</f>
        <v>1387886.4762909594</v>
      </c>
      <c r="U107" s="192">
        <f>IF((U112+U115)&lt;0,0,+U112+U115)</f>
        <v>1362868.3383832141</v>
      </c>
    </row>
    <row r="108" spans="1:21" ht="14.4" hidden="1">
      <c r="A108" s="636"/>
      <c r="B108" s="190" t="s">
        <v>506</v>
      </c>
      <c r="C108" s="190" t="s">
        <v>769</v>
      </c>
      <c r="D108" s="190"/>
      <c r="E108" s="190"/>
      <c r="F108" s="190"/>
      <c r="G108" s="190"/>
      <c r="H108" s="190"/>
      <c r="I108" s="190"/>
      <c r="J108" s="190"/>
      <c r="K108" s="190"/>
      <c r="L108" s="184">
        <v>111167.84224479957</v>
      </c>
      <c r="M108" s="184">
        <v>114710.85125357669</v>
      </c>
      <c r="N108" s="184">
        <v>115815.98639030114</v>
      </c>
      <c r="O108" s="184">
        <f t="shared" ref="O108:R108" si="45">((O59/O25)*0.5)+((O56/O25)*0.5)</f>
        <v>186891.20731504439</v>
      </c>
      <c r="P108" s="184">
        <f t="shared" si="45"/>
        <v>149077.87229508057</v>
      </c>
      <c r="Q108" s="184">
        <f t="shared" si="45"/>
        <v>146896.24447145988</v>
      </c>
      <c r="R108" s="184">
        <f t="shared" si="45"/>
        <v>149755.11704609744</v>
      </c>
      <c r="S108" s="184">
        <f t="shared" ref="S108:T108" si="46">((S59/S25)*0.5)+((S56/S25)*0.5)</f>
        <v>152650.31513260319</v>
      </c>
      <c r="T108" s="184">
        <f t="shared" si="46"/>
        <v>153424.93613885139</v>
      </c>
      <c r="U108" s="184">
        <f t="shared" ref="U108" si="47">((U59/U25)*0.5)+((U56/U25)*0.5)</f>
        <v>154204.73223563281</v>
      </c>
    </row>
    <row r="109" spans="1:21" ht="14.4" hidden="1">
      <c r="A109" s="636"/>
      <c r="B109" s="190" t="s">
        <v>507</v>
      </c>
      <c r="C109" s="190" t="s">
        <v>690</v>
      </c>
      <c r="D109" s="190"/>
      <c r="E109" s="190"/>
      <c r="F109" s="190"/>
      <c r="G109" s="190"/>
      <c r="H109" s="190"/>
      <c r="I109" s="190"/>
      <c r="J109" s="190"/>
      <c r="K109" s="190"/>
      <c r="L109" s="184">
        <v>162742.09462256561</v>
      </c>
      <c r="M109" s="184">
        <v>167343.21</v>
      </c>
      <c r="N109" s="184">
        <v>172484.73</v>
      </c>
      <c r="O109" s="184">
        <f t="shared" ref="O109:S109" si="48">((+O15/O11)*0.5)+((O17/O11)*0.5)</f>
        <v>178196.33121764346</v>
      </c>
      <c r="P109" s="184">
        <f t="shared" si="48"/>
        <v>178196.33121764346</v>
      </c>
      <c r="Q109" s="184">
        <f t="shared" si="48"/>
        <v>178196.33121764346</v>
      </c>
      <c r="R109" s="184">
        <f t="shared" si="48"/>
        <v>178196.33121764346</v>
      </c>
      <c r="S109" s="184">
        <f t="shared" si="48"/>
        <v>178196.33121764346</v>
      </c>
      <c r="T109" s="184">
        <f t="shared" ref="T109:U109" si="49">((+T15/T11)*0.5)+((T17/T11)*0.5)</f>
        <v>178196.33121764346</v>
      </c>
      <c r="U109" s="184">
        <f t="shared" si="49"/>
        <v>178196.33121764346</v>
      </c>
    </row>
    <row r="110" spans="1:21" ht="14.4" hidden="1">
      <c r="A110" s="636"/>
      <c r="B110" s="190" t="s">
        <v>508</v>
      </c>
      <c r="C110" s="190" t="s">
        <v>770</v>
      </c>
      <c r="D110" s="190"/>
      <c r="E110" s="190"/>
      <c r="F110" s="190"/>
      <c r="G110" s="190"/>
      <c r="H110" s="190"/>
      <c r="I110" s="190"/>
      <c r="J110" s="190"/>
      <c r="K110" s="190"/>
      <c r="L110" s="184">
        <v>206466.1</v>
      </c>
      <c r="M110" s="193">
        <v>212623.79</v>
      </c>
      <c r="N110" s="193">
        <v>219801.92</v>
      </c>
      <c r="O110" s="193">
        <v>212933.22</v>
      </c>
      <c r="P110" s="193">
        <v>212934.22</v>
      </c>
      <c r="Q110" s="193">
        <v>212935.22</v>
      </c>
      <c r="R110" s="193">
        <v>212935.22</v>
      </c>
      <c r="S110" s="193">
        <v>212935.22</v>
      </c>
      <c r="T110" s="193">
        <v>212935.22</v>
      </c>
      <c r="U110" s="193">
        <v>212935.22</v>
      </c>
    </row>
    <row r="111" spans="1:21" ht="14.4" hidden="1">
      <c r="A111" s="636"/>
      <c r="B111" s="190" t="s">
        <v>509</v>
      </c>
      <c r="C111" s="190" t="s">
        <v>510</v>
      </c>
      <c r="D111" s="190"/>
      <c r="E111" s="190"/>
      <c r="F111" s="190"/>
      <c r="G111" s="190"/>
      <c r="H111" s="190"/>
      <c r="I111" s="190"/>
      <c r="J111" s="190"/>
      <c r="K111" s="193"/>
      <c r="L111" s="454">
        <v>1.4639313972128363</v>
      </c>
      <c r="M111" s="644">
        <v>1.4588263287321932</v>
      </c>
      <c r="N111" s="644">
        <v>1.4892998399955304</v>
      </c>
      <c r="O111" s="644">
        <f t="shared" ref="O111:R111" si="50">+O109/O108</f>
        <v>0.95347626984535505</v>
      </c>
      <c r="P111" s="644">
        <f t="shared" si="50"/>
        <v>1.1953238161658668</v>
      </c>
      <c r="Q111" s="644">
        <f t="shared" si="50"/>
        <v>1.2130761535722228</v>
      </c>
      <c r="R111" s="644">
        <f t="shared" si="50"/>
        <v>1.1899181459207919</v>
      </c>
      <c r="S111" s="644">
        <f t="shared" ref="S111:T111" si="51">+S109/S108</f>
        <v>1.1673499072887543</v>
      </c>
      <c r="T111" s="644">
        <f t="shared" si="51"/>
        <v>1.1614561211638612</v>
      </c>
      <c r="U111" s="644">
        <f t="shared" ref="U111" si="52">+U109/U108</f>
        <v>1.1555827673650783</v>
      </c>
    </row>
    <row r="112" spans="1:21" ht="14.4" hidden="1">
      <c r="A112" s="636"/>
      <c r="B112" s="190" t="s">
        <v>511</v>
      </c>
      <c r="C112" s="190" t="s">
        <v>512</v>
      </c>
      <c r="D112" s="190"/>
      <c r="E112" s="190"/>
      <c r="F112" s="190"/>
      <c r="G112" s="190"/>
      <c r="H112" s="190"/>
      <c r="I112" s="190"/>
      <c r="J112" s="190"/>
      <c r="K112" s="190"/>
      <c r="L112" s="182">
        <v>2538034.9155814173</v>
      </c>
      <c r="M112" s="190">
        <v>2558480.9190479838</v>
      </c>
      <c r="N112" s="190">
        <v>2784525.8657219098</v>
      </c>
      <c r="O112" s="190">
        <f t="shared" ref="O112:R112" si="53">IF(((O110-O108)*0.006*O111)*O46&lt;0,0,((O110-O108)*0.006*O111*O46))</f>
        <v>429460.28249493061</v>
      </c>
      <c r="P112" s="190">
        <f t="shared" si="53"/>
        <v>1315585.2708363708</v>
      </c>
      <c r="Q112" s="190">
        <f t="shared" si="53"/>
        <v>1375951.9518534022</v>
      </c>
      <c r="R112" s="190">
        <f t="shared" si="53"/>
        <v>1286745.0722342043</v>
      </c>
      <c r="S112" s="190">
        <f t="shared" ref="S112:T112" si="54">IF(((S110-S108)*0.006*S111)*S46&lt;0,0,((S110-S108)*0.006*S111*S46))</f>
        <v>1200271.8324851757</v>
      </c>
      <c r="T112" s="190">
        <f t="shared" si="54"/>
        <v>1174719.8839734392</v>
      </c>
      <c r="U112" s="190">
        <f t="shared" ref="U112" si="55">IF(((U110-U108)*0.006*U111)*U46&lt;0,0,((U110-U108)*0.006*U111*U46))</f>
        <v>1149392.2180906357</v>
      </c>
    </row>
    <row r="113" spans="1:21" ht="14.4" hidden="1">
      <c r="A113" s="636"/>
      <c r="B113" s="190" t="s">
        <v>513</v>
      </c>
      <c r="C113" s="190" t="s">
        <v>514</v>
      </c>
      <c r="D113" s="190"/>
      <c r="E113" s="190"/>
      <c r="F113" s="190"/>
      <c r="G113" s="190"/>
      <c r="H113" s="190"/>
      <c r="I113" s="190"/>
      <c r="J113" s="190"/>
      <c r="K113" s="193"/>
      <c r="L113" s="198">
        <v>4.4885781564227442E-2</v>
      </c>
      <c r="M113" s="645">
        <v>5.0229521256883888E-2</v>
      </c>
      <c r="N113" s="645">
        <v>4.6839116136325229E-2</v>
      </c>
      <c r="O113" s="645">
        <f t="shared" ref="O113:R113" si="56">+O58/O57</f>
        <v>0.13063435078647731</v>
      </c>
      <c r="P113" s="645">
        <f t="shared" si="56"/>
        <v>0.13063435078647731</v>
      </c>
      <c r="Q113" s="645">
        <f t="shared" si="56"/>
        <v>0.13063435078647731</v>
      </c>
      <c r="R113" s="645">
        <f t="shared" si="56"/>
        <v>0.13063435078647731</v>
      </c>
      <c r="S113" s="645">
        <f t="shared" ref="S113:T113" si="57">+S58/S57</f>
        <v>0.13063435078647731</v>
      </c>
      <c r="T113" s="645">
        <f t="shared" si="57"/>
        <v>0.13063435078647731</v>
      </c>
      <c r="U113" s="645">
        <f t="shared" ref="U113" si="58">+U58/U57</f>
        <v>0.13063435078647731</v>
      </c>
    </row>
    <row r="114" spans="1:21" ht="14.4" hidden="1">
      <c r="A114" s="181"/>
      <c r="B114" s="190" t="s">
        <v>515</v>
      </c>
      <c r="C114" s="190" t="s">
        <v>516</v>
      </c>
      <c r="D114" s="190"/>
      <c r="E114" s="190"/>
      <c r="F114" s="190"/>
      <c r="G114" s="190"/>
      <c r="H114" s="190"/>
      <c r="I114" s="190"/>
      <c r="J114" s="190"/>
      <c r="K114" s="190"/>
      <c r="L114" s="198">
        <v>0.17954312625690977</v>
      </c>
      <c r="M114" s="645">
        <v>0.20091808502753555</v>
      </c>
      <c r="N114" s="645">
        <v>0.18735646454530092</v>
      </c>
      <c r="O114" s="645">
        <f t="shared" ref="O114:R114" si="59">IF(O113&gt;=0.1,0.4,(O113*4))</f>
        <v>0.4</v>
      </c>
      <c r="P114" s="645">
        <f t="shared" si="59"/>
        <v>0.4</v>
      </c>
      <c r="Q114" s="645">
        <f t="shared" si="59"/>
        <v>0.4</v>
      </c>
      <c r="R114" s="645">
        <f t="shared" si="59"/>
        <v>0.4</v>
      </c>
      <c r="S114" s="645">
        <f t="shared" ref="S114:T114" si="60">IF(S113&gt;=0.1,0.4,(S113*4))</f>
        <v>0.4</v>
      </c>
      <c r="T114" s="645">
        <f t="shared" si="60"/>
        <v>0.4</v>
      </c>
      <c r="U114" s="645">
        <f t="shared" ref="U114" si="61">IF(U113&gt;=0.1,0.4,(U113*4))</f>
        <v>0.4</v>
      </c>
    </row>
    <row r="115" spans="1:21" ht="14.4" hidden="1">
      <c r="A115" s="181"/>
      <c r="B115" s="190" t="s">
        <v>517</v>
      </c>
      <c r="C115" s="190" t="s">
        <v>518</v>
      </c>
      <c r="D115" s="190"/>
      <c r="E115" s="190"/>
      <c r="F115" s="190"/>
      <c r="G115" s="190"/>
      <c r="H115" s="190"/>
      <c r="I115" s="190"/>
      <c r="J115" s="190"/>
      <c r="K115" s="190"/>
      <c r="L115" s="182">
        <v>-401065.72664336947</v>
      </c>
      <c r="M115" s="190">
        <v>0</v>
      </c>
      <c r="N115" s="190">
        <v>0</v>
      </c>
      <c r="O115" s="190">
        <f t="shared" ref="O115:R115" si="62">IF(((O113-0.1)*(O105*0.4)*O46)&lt;0,0,((O113-0.1)*(O105*0.4)*O46))</f>
        <v>212644.41232973657</v>
      </c>
      <c r="P115" s="190">
        <f t="shared" si="62"/>
        <v>211906.73462954152</v>
      </c>
      <c r="Q115" s="190">
        <f t="shared" si="62"/>
        <v>212224.90221399322</v>
      </c>
      <c r="R115" s="190">
        <f t="shared" si="62"/>
        <v>212540.95380592367</v>
      </c>
      <c r="S115" s="190">
        <f t="shared" ref="S115:T115" si="63">IF(((S113-0.1)*(S105*0.4)*S46)&lt;0,0,((S113-0.1)*(S105*0.4)*S46))</f>
        <v>212854.86029121806</v>
      </c>
      <c r="T115" s="190">
        <f t="shared" si="63"/>
        <v>213166.59231752029</v>
      </c>
      <c r="U115" s="190">
        <f t="shared" ref="U115" si="64">IF(((U113-0.1)*(U105*0.4)*U46)&lt;0,0,((U113-0.1)*(U105*0.4)*U46))</f>
        <v>213476.12029257827</v>
      </c>
    </row>
    <row r="116" spans="1:21" ht="14.4" hidden="1">
      <c r="A116" s="181" t="s">
        <v>519</v>
      </c>
      <c r="B116" s="190" t="s">
        <v>691</v>
      </c>
      <c r="C116" s="190"/>
      <c r="D116" s="190"/>
      <c r="E116" s="190"/>
      <c r="F116" s="190"/>
      <c r="G116" s="190"/>
      <c r="H116" s="190"/>
      <c r="I116" s="190"/>
      <c r="J116" s="190"/>
      <c r="K116" s="190"/>
      <c r="L116" s="192">
        <v>242702.05852878958</v>
      </c>
      <c r="M116" s="192">
        <v>236096.30751469219</v>
      </c>
      <c r="N116" s="192">
        <v>227759.34600124415</v>
      </c>
      <c r="O116" s="192">
        <f t="shared" ref="O116:R116" si="65">(+O179*(O44-O45)*O85)+(O180*(O44-O45))</f>
        <v>237054.66819177009</v>
      </c>
      <c r="P116" s="192">
        <f t="shared" si="65"/>
        <v>192465.31902777927</v>
      </c>
      <c r="Q116" s="192">
        <f t="shared" si="65"/>
        <v>246648.38930331654</v>
      </c>
      <c r="R116" s="192">
        <f t="shared" si="65"/>
        <v>242706.88355903895</v>
      </c>
      <c r="S116" s="192">
        <f t="shared" ref="S116:T116" si="66">(+S179*(S44-S45)*S85)+(S180*(S44-S45))</f>
        <v>238712.69074884077</v>
      </c>
      <c r="T116" s="192">
        <f t="shared" si="66"/>
        <v>238056.28413704858</v>
      </c>
      <c r="U116" s="192">
        <f t="shared" ref="U116" si="67">(+U179*(U44-U45)*U85)+(U180*(U44-U45))</f>
        <v>237395.61871210771</v>
      </c>
    </row>
    <row r="117" spans="1:21" ht="14.4" hidden="1">
      <c r="A117" s="181" t="s">
        <v>520</v>
      </c>
      <c r="B117" s="205" t="s">
        <v>692</v>
      </c>
      <c r="C117" s="190"/>
      <c r="D117" s="190"/>
      <c r="E117" s="190"/>
      <c r="F117" s="190"/>
      <c r="G117" s="190"/>
      <c r="H117" s="190"/>
      <c r="I117" s="190"/>
      <c r="J117" s="190"/>
      <c r="K117" s="190"/>
      <c r="L117" s="192">
        <v>876196.976604986</v>
      </c>
      <c r="M117" s="192">
        <v>192287.57418974029</v>
      </c>
      <c r="N117" s="192">
        <v>197827.11766666884</v>
      </c>
      <c r="O117" s="192">
        <f t="shared" ref="O117:Q117" si="68">O181*((O53-O55)*O87)</f>
        <v>89935.660810625079</v>
      </c>
      <c r="P117" s="192">
        <f t="shared" si="68"/>
        <v>90512.617489961791</v>
      </c>
      <c r="Q117" s="192">
        <f t="shared" si="68"/>
        <v>91095.143982761903</v>
      </c>
      <c r="R117" s="192">
        <f>R181*((R53-R55)*R87)</f>
        <v>91683.312213423545</v>
      </c>
      <c r="S117" s="192">
        <f>S181*((S53-S55)*S87)</f>
        <v>92277.195271076242</v>
      </c>
      <c r="T117" s="192">
        <f>T181*((T53-T55)*T87)</f>
        <v>92876.86743228804</v>
      </c>
      <c r="U117" s="192">
        <f>U181*((U53-U55)*U87)</f>
        <v>93482.404184291197</v>
      </c>
    </row>
    <row r="118" spans="1:21" ht="14.4" hidden="1">
      <c r="A118" s="181" t="s">
        <v>521</v>
      </c>
      <c r="B118" s="205" t="s">
        <v>522</v>
      </c>
      <c r="C118" s="190"/>
      <c r="D118" s="190"/>
      <c r="E118" s="190"/>
      <c r="F118" s="190"/>
      <c r="G118" s="190"/>
      <c r="H118" s="190"/>
      <c r="I118" s="190"/>
      <c r="J118" s="190"/>
      <c r="K118" s="190"/>
      <c r="L118" s="192">
        <v>3566.21</v>
      </c>
      <c r="M118" s="192">
        <v>3433.1978639948002</v>
      </c>
      <c r="N118" s="192">
        <v>2271.8221273919999</v>
      </c>
      <c r="O118" s="192">
        <f t="shared" ref="O118:Q118" si="69">+O119+O120+O121</f>
        <v>9519.4881234352688</v>
      </c>
      <c r="P118" s="192">
        <f t="shared" si="69"/>
        <v>6088.3987527179997</v>
      </c>
      <c r="Q118" s="192">
        <f t="shared" si="69"/>
        <v>10257.711828167779</v>
      </c>
      <c r="R118" s="192">
        <f>+R119+R120+R121</f>
        <v>9954.4183574765084</v>
      </c>
      <c r="S118" s="192">
        <f>+S119+S120+S121</f>
        <v>9647.0706891967093</v>
      </c>
      <c r="T118" s="192">
        <f>+T119+T120+T121</f>
        <v>9596.5610991081521</v>
      </c>
      <c r="U118" s="192">
        <f>+U119+U120+U121</f>
        <v>9545.7237991785623</v>
      </c>
    </row>
    <row r="119" spans="1:21" ht="14.4" hidden="1">
      <c r="A119" s="181"/>
      <c r="B119" s="205" t="s">
        <v>523</v>
      </c>
      <c r="C119" s="190" t="s">
        <v>693</v>
      </c>
      <c r="D119" s="190"/>
      <c r="E119" s="190"/>
      <c r="F119" s="190"/>
      <c r="G119" s="190"/>
      <c r="H119" s="190"/>
      <c r="I119" s="190"/>
      <c r="J119" s="190"/>
      <c r="K119" s="190"/>
      <c r="L119" s="182"/>
      <c r="M119" s="182">
        <v>1009.92092811</v>
      </c>
      <c r="N119" s="182">
        <v>0</v>
      </c>
      <c r="O119" s="182">
        <f t="shared" ref="O119:Q119" si="70">O182*O40*O63</f>
        <v>2176.2523776979679</v>
      </c>
      <c r="P119" s="182">
        <f t="shared" si="70"/>
        <v>1391.87024451</v>
      </c>
      <c r="Q119" s="182">
        <f t="shared" si="70"/>
        <v>2345.0178692733043</v>
      </c>
      <c r="R119" s="182">
        <f>R182*R40*R63</f>
        <v>2275.681878916087</v>
      </c>
      <c r="S119" s="182">
        <f>S182*S40*S63</f>
        <v>2205.4190575121493</v>
      </c>
      <c r="T119" s="182">
        <f>T182*T40*T63</f>
        <v>2193.8720484606688</v>
      </c>
      <c r="U119" s="182">
        <f>U182*U40*U63</f>
        <v>2182.2501215867696</v>
      </c>
    </row>
    <row r="120" spans="1:21" ht="14.4" hidden="1">
      <c r="A120" s="181"/>
      <c r="B120" s="205" t="s">
        <v>524</v>
      </c>
      <c r="C120" s="190" t="s">
        <v>694</v>
      </c>
      <c r="D120" s="190"/>
      <c r="E120" s="190"/>
      <c r="F120" s="190"/>
      <c r="G120" s="190"/>
      <c r="H120" s="190"/>
      <c r="I120" s="190"/>
      <c r="J120" s="190"/>
      <c r="K120" s="190"/>
      <c r="L120" s="182"/>
      <c r="M120" s="182">
        <v>2423.2769358848</v>
      </c>
      <c r="N120" s="182">
        <v>2271.8221273919999</v>
      </c>
      <c r="O120" s="182">
        <f t="shared" ref="O120:Q120" si="71">O183*O41*O63</f>
        <v>7343.2357457373018</v>
      </c>
      <c r="P120" s="182">
        <f t="shared" si="71"/>
        <v>4696.5285082079999</v>
      </c>
      <c r="Q120" s="182">
        <f t="shared" si="71"/>
        <v>7912.6939588944761</v>
      </c>
      <c r="R120" s="182">
        <f>R183*R41*R63</f>
        <v>7678.7364785604204</v>
      </c>
      <c r="S120" s="182">
        <f>S183*S41*S63</f>
        <v>7441.65163168456</v>
      </c>
      <c r="T120" s="182">
        <f>T183*T41*T63</f>
        <v>7402.6890506474838</v>
      </c>
      <c r="U120" s="182">
        <f>U183*U41*U63</f>
        <v>7363.4736775917927</v>
      </c>
    </row>
    <row r="121" spans="1:21" ht="14.4" hidden="1">
      <c r="A121" s="181"/>
      <c r="B121" s="205" t="s">
        <v>525</v>
      </c>
      <c r="C121" s="190" t="s">
        <v>695</v>
      </c>
      <c r="D121" s="190"/>
      <c r="E121" s="190"/>
      <c r="F121" s="190"/>
      <c r="G121" s="190"/>
      <c r="H121" s="190"/>
      <c r="I121" s="190"/>
      <c r="J121" s="190"/>
      <c r="K121" s="190"/>
      <c r="L121" s="182"/>
      <c r="M121" s="182">
        <v>0</v>
      </c>
      <c r="N121" s="182">
        <v>0</v>
      </c>
      <c r="O121" s="182">
        <f t="shared" ref="O121:Q121" si="72">O184*O42*O63</f>
        <v>0</v>
      </c>
      <c r="P121" s="182">
        <f t="shared" si="72"/>
        <v>0</v>
      </c>
      <c r="Q121" s="182">
        <f t="shared" si="72"/>
        <v>0</v>
      </c>
      <c r="R121" s="182">
        <f>R184*R42*R63</f>
        <v>0</v>
      </c>
      <c r="S121" s="182">
        <f>S184*S42*S63</f>
        <v>0</v>
      </c>
      <c r="T121" s="182">
        <f>T184*T42*T63</f>
        <v>0</v>
      </c>
      <c r="U121" s="182">
        <f>U184*U42*U63</f>
        <v>0</v>
      </c>
    </row>
    <row r="122" spans="1:21" ht="14.4" hidden="1">
      <c r="A122" s="181" t="s">
        <v>526</v>
      </c>
      <c r="B122" s="205" t="s">
        <v>527</v>
      </c>
      <c r="C122" s="190"/>
      <c r="D122" s="190"/>
      <c r="E122" s="190"/>
      <c r="F122" s="190"/>
      <c r="G122" s="190"/>
      <c r="H122" s="190"/>
      <c r="I122" s="190"/>
      <c r="J122" s="190"/>
      <c r="K122" s="190"/>
      <c r="L122" s="192">
        <v>153329.40381818183</v>
      </c>
      <c r="M122" s="192">
        <v>151107.62418181816</v>
      </c>
      <c r="N122" s="192">
        <v>151882.94456060606</v>
      </c>
      <c r="O122" s="192">
        <f t="shared" ref="O122:Q122" si="73">+O123+O124+O125</f>
        <v>145036.04713333337</v>
      </c>
      <c r="P122" s="192">
        <f t="shared" si="73"/>
        <v>144532.57743636367</v>
      </c>
      <c r="Q122" s="192">
        <f t="shared" si="73"/>
        <v>144029.10773939395</v>
      </c>
      <c r="R122" s="192">
        <f>+R123+R124+R125</f>
        <v>143525.63804242428</v>
      </c>
      <c r="S122" s="192">
        <f>+S123+S124+S125</f>
        <v>143022.16834545456</v>
      </c>
      <c r="T122" s="192">
        <f>+T123+T124+T125</f>
        <v>142518.69864848489</v>
      </c>
      <c r="U122" s="192">
        <f>+U123+U124+U125</f>
        <v>142015.22895151516</v>
      </c>
    </row>
    <row r="123" spans="1:21" ht="14.4" hidden="1">
      <c r="A123" s="181"/>
      <c r="B123" s="205" t="s">
        <v>528</v>
      </c>
      <c r="C123" s="190" t="s">
        <v>696</v>
      </c>
      <c r="D123" s="190"/>
      <c r="E123" s="190"/>
      <c r="F123" s="190"/>
      <c r="G123" s="190"/>
      <c r="H123" s="190"/>
      <c r="I123" s="190"/>
      <c r="J123" s="190"/>
      <c r="K123" s="190"/>
      <c r="L123" s="182">
        <v>16343.214</v>
      </c>
      <c r="M123" s="182">
        <v>16025.266</v>
      </c>
      <c r="N123" s="182">
        <v>16141.0625</v>
      </c>
      <c r="O123" s="182">
        <f t="shared" ref="O123:Q123" si="74">O185*O25</f>
        <v>15420.942600000002</v>
      </c>
      <c r="P123" s="182">
        <f t="shared" si="74"/>
        <v>15370.442600000002</v>
      </c>
      <c r="Q123" s="182">
        <f t="shared" si="74"/>
        <v>15319.942600000002</v>
      </c>
      <c r="R123" s="182">
        <f>R185*R25</f>
        <v>15269.442600000002</v>
      </c>
      <c r="S123" s="182">
        <f>S185*S25</f>
        <v>15218.942600000002</v>
      </c>
      <c r="T123" s="182">
        <f>T185*T25</f>
        <v>15168.442600000002</v>
      </c>
      <c r="U123" s="182">
        <f>U185*U25</f>
        <v>15117.942600000002</v>
      </c>
    </row>
    <row r="124" spans="1:21" ht="14.4" hidden="1">
      <c r="A124" s="181"/>
      <c r="B124" s="205" t="s">
        <v>529</v>
      </c>
      <c r="C124" s="190" t="s">
        <v>697</v>
      </c>
      <c r="D124" s="190"/>
      <c r="E124" s="190"/>
      <c r="F124" s="190"/>
      <c r="G124" s="190"/>
      <c r="H124" s="190"/>
      <c r="I124" s="190"/>
      <c r="J124" s="190"/>
      <c r="K124" s="190"/>
      <c r="L124" s="182">
        <v>34246.547454545456</v>
      </c>
      <c r="M124" s="182">
        <v>33770.589545454546</v>
      </c>
      <c r="N124" s="182">
        <v>33935.470515151515</v>
      </c>
      <c r="O124" s="182">
        <f t="shared" ref="O124:Q124" si="75">IF((O25-(O47+O48))/3300&lt;0.5,37370*0.5,IF((O25-(O47+O48))/3300&gt;8,37370*8,37370*(O25-(O47+O48))/3300))</f>
        <v>32403.77613333334</v>
      </c>
      <c r="P124" s="182">
        <f t="shared" si="75"/>
        <v>32290.533709090916</v>
      </c>
      <c r="Q124" s="182">
        <f t="shared" si="75"/>
        <v>32177.291284848492</v>
      </c>
      <c r="R124" s="182">
        <f>IF((R25-(R47+R48))/3300&lt;0.5,37370*0.5,IF((R25-(R47+R48))/3300&gt;8,37370*8,37370*(R25-(R47+R48))/3300))</f>
        <v>32064.048860606068</v>
      </c>
      <c r="S124" s="182">
        <f>IF((S25-(S47+S48))/3300&lt;0.5,37370*0.5,IF((S25-(S47+S48))/3300&gt;8,37370*8,37370*(S25-(S47+S48))/3300))</f>
        <v>31950.806436363644</v>
      </c>
      <c r="T124" s="182">
        <f>IF((T25-(T47+T48))/3300&lt;0.5,37370*0.5,IF((T25-(T47+T48))/3300&gt;8,37370*8,37370*(T25-(T47+T48))/3300))</f>
        <v>31837.56401212122</v>
      </c>
      <c r="U124" s="182">
        <f>IF((U25-(U47+U48))/3300&lt;0.5,37370*0.5,IF((U25-(U47+U48))/3300&gt;8,37370*8,37370*(U25-(U47+U48))/3300))</f>
        <v>31724.321587878796</v>
      </c>
    </row>
    <row r="125" spans="1:21" ht="14.4" hidden="1">
      <c r="A125" s="181"/>
      <c r="B125" s="205" t="s">
        <v>530</v>
      </c>
      <c r="C125" s="190" t="s">
        <v>698</v>
      </c>
      <c r="D125" s="190"/>
      <c r="E125" s="190"/>
      <c r="F125" s="190"/>
      <c r="G125" s="190"/>
      <c r="H125" s="190"/>
      <c r="I125" s="190"/>
      <c r="J125" s="190"/>
      <c r="K125" s="190"/>
      <c r="L125" s="182">
        <v>102739.64236363638</v>
      </c>
      <c r="M125" s="182">
        <v>101311.76863636363</v>
      </c>
      <c r="N125" s="182">
        <v>101806.41154545455</v>
      </c>
      <c r="O125" s="182">
        <f t="shared" ref="O125:Q125" si="76">37370*((O25-(O47+O48))/1100)</f>
        <v>97211.328400000028</v>
      </c>
      <c r="P125" s="182">
        <f t="shared" si="76"/>
        <v>96871.601127272748</v>
      </c>
      <c r="Q125" s="182">
        <f t="shared" si="76"/>
        <v>96531.873854545469</v>
      </c>
      <c r="R125" s="182">
        <f>37370*((R25-(R47+R48))/1100)</f>
        <v>96192.146581818204</v>
      </c>
      <c r="S125" s="182">
        <f>37370*((S25-(S47+S48))/1100)</f>
        <v>95852.419309090925</v>
      </c>
      <c r="T125" s="182">
        <f>37370*((T25-(T47+T48))/1100)</f>
        <v>95512.69203636366</v>
      </c>
      <c r="U125" s="182">
        <f>37370*((U25-(U47+U48))/1100)</f>
        <v>95172.964763636381</v>
      </c>
    </row>
    <row r="126" spans="1:21" ht="14.4" hidden="1">
      <c r="A126" s="181" t="s">
        <v>531</v>
      </c>
      <c r="B126" s="205" t="s">
        <v>532</v>
      </c>
      <c r="C126" s="190"/>
      <c r="D126" s="190"/>
      <c r="E126" s="190"/>
      <c r="F126" s="190"/>
      <c r="G126" s="190"/>
      <c r="H126" s="190"/>
      <c r="I126" s="190"/>
      <c r="J126" s="190"/>
      <c r="K126" s="190"/>
      <c r="L126" s="192">
        <v>1101241</v>
      </c>
      <c r="M126" s="192">
        <v>1070167</v>
      </c>
      <c r="N126" s="192">
        <v>1211740</v>
      </c>
      <c r="O126" s="192">
        <f t="shared" ref="O126:P126" si="77">SUM(O127:O130)</f>
        <v>1162563</v>
      </c>
      <c r="P126" s="192">
        <f t="shared" si="77"/>
        <v>962563</v>
      </c>
      <c r="Q126" s="192">
        <f>SUM(Q127:Q130)</f>
        <v>962563</v>
      </c>
      <c r="R126" s="192">
        <f>SUM(R127:R130)</f>
        <v>962563</v>
      </c>
      <c r="S126" s="192">
        <f>SUM(S127:S130)</f>
        <v>962563</v>
      </c>
      <c r="T126" s="192">
        <f>SUM(T127:T130)</f>
        <v>962563</v>
      </c>
      <c r="U126" s="192">
        <f>SUM(U127:U130)</f>
        <v>962563</v>
      </c>
    </row>
    <row r="127" spans="1:21" ht="14.4" hidden="1">
      <c r="A127" s="181"/>
      <c r="B127" s="205" t="s">
        <v>792</v>
      </c>
      <c r="C127" s="190" t="s">
        <v>793</v>
      </c>
      <c r="D127" s="190"/>
      <c r="E127" s="190"/>
      <c r="F127" s="190"/>
      <c r="G127" s="190"/>
      <c r="H127" s="190"/>
      <c r="I127" s="190"/>
      <c r="J127" s="190"/>
      <c r="K127" s="190"/>
      <c r="L127" s="449">
        <v>893202</v>
      </c>
      <c r="M127" s="599">
        <v>852355</v>
      </c>
      <c r="N127" s="599">
        <v>959941</v>
      </c>
      <c r="O127" s="449">
        <f t="shared" ref="O127:U127" si="78">N127</f>
        <v>959941</v>
      </c>
      <c r="P127" s="449">
        <f t="shared" si="78"/>
        <v>959941</v>
      </c>
      <c r="Q127" s="449">
        <f t="shared" si="78"/>
        <v>959941</v>
      </c>
      <c r="R127" s="449">
        <f t="shared" si="78"/>
        <v>959941</v>
      </c>
      <c r="S127" s="449">
        <f t="shared" si="78"/>
        <v>959941</v>
      </c>
      <c r="T127" s="449">
        <f t="shared" si="78"/>
        <v>959941</v>
      </c>
      <c r="U127" s="449">
        <f t="shared" si="78"/>
        <v>959941</v>
      </c>
    </row>
    <row r="128" spans="1:21" ht="14.4" hidden="1">
      <c r="A128" s="181"/>
      <c r="B128" s="205" t="s">
        <v>794</v>
      </c>
      <c r="C128" s="190" t="s">
        <v>795</v>
      </c>
      <c r="D128" s="190"/>
      <c r="E128" s="190"/>
      <c r="F128" s="190"/>
      <c r="G128" s="190"/>
      <c r="H128" s="190"/>
      <c r="I128" s="190"/>
      <c r="J128" s="190"/>
      <c r="K128" s="190"/>
      <c r="L128" s="449">
        <v>0</v>
      </c>
      <c r="M128" s="449">
        <v>0</v>
      </c>
      <c r="N128" s="449">
        <v>0</v>
      </c>
      <c r="O128" s="449">
        <v>0</v>
      </c>
      <c r="P128" s="449">
        <v>0</v>
      </c>
      <c r="Q128" s="449">
        <v>0</v>
      </c>
      <c r="R128" s="449">
        <v>0</v>
      </c>
      <c r="S128" s="449">
        <v>0</v>
      </c>
      <c r="T128" s="449">
        <v>0</v>
      </c>
      <c r="U128" s="449">
        <v>0</v>
      </c>
    </row>
    <row r="129" spans="1:21" ht="14.4" hidden="1">
      <c r="A129" s="181"/>
      <c r="B129" s="205" t="s">
        <v>796</v>
      </c>
      <c r="C129" s="190" t="s">
        <v>797</v>
      </c>
      <c r="D129" s="190"/>
      <c r="E129" s="190"/>
      <c r="F129" s="190"/>
      <c r="G129" s="190"/>
      <c r="H129" s="190"/>
      <c r="I129" s="190"/>
      <c r="J129" s="190"/>
      <c r="K129" s="190"/>
      <c r="L129" s="449">
        <v>0</v>
      </c>
      <c r="M129" s="449">
        <v>0</v>
      </c>
      <c r="N129" s="449">
        <v>0</v>
      </c>
      <c r="O129" s="449">
        <v>2622</v>
      </c>
      <c r="P129" s="449">
        <v>2622</v>
      </c>
      <c r="Q129" s="449">
        <v>2622</v>
      </c>
      <c r="R129" s="449">
        <v>2622</v>
      </c>
      <c r="S129" s="449">
        <v>2622</v>
      </c>
      <c r="T129" s="449">
        <v>2622</v>
      </c>
      <c r="U129" s="449">
        <v>2622</v>
      </c>
    </row>
    <row r="130" spans="1:21" ht="14.4" hidden="1">
      <c r="A130" s="181"/>
      <c r="B130" s="205" t="s">
        <v>798</v>
      </c>
      <c r="C130" s="190" t="s">
        <v>799</v>
      </c>
      <c r="D130" s="190"/>
      <c r="E130" s="190"/>
      <c r="F130" s="190"/>
      <c r="G130" s="190"/>
      <c r="H130" s="190"/>
      <c r="I130" s="190"/>
      <c r="J130" s="190"/>
      <c r="K130" s="190"/>
      <c r="L130" s="449">
        <v>208039</v>
      </c>
      <c r="M130" s="449">
        <v>217812</v>
      </c>
      <c r="N130" s="449">
        <v>251799</v>
      </c>
      <c r="O130" s="449">
        <v>200000</v>
      </c>
      <c r="P130" s="449">
        <v>0</v>
      </c>
      <c r="Q130" s="449">
        <v>0</v>
      </c>
      <c r="R130" s="449">
        <v>0</v>
      </c>
      <c r="S130" s="449">
        <v>0</v>
      </c>
      <c r="T130" s="449">
        <v>0</v>
      </c>
      <c r="U130" s="449">
        <v>0</v>
      </c>
    </row>
    <row r="131" spans="1:21" ht="14.4" hidden="1">
      <c r="A131" s="181" t="s">
        <v>533</v>
      </c>
      <c r="B131" s="205" t="s">
        <v>534</v>
      </c>
      <c r="C131" s="190"/>
      <c r="D131" s="190"/>
      <c r="E131" s="190"/>
      <c r="F131" s="190"/>
      <c r="G131" s="190"/>
      <c r="H131" s="190"/>
      <c r="I131" s="190"/>
      <c r="J131" s="190"/>
      <c r="K131" s="190"/>
      <c r="L131" s="194">
        <v>1923934.9234251822</v>
      </c>
      <c r="M131" s="194">
        <v>2026935.9474538735</v>
      </c>
      <c r="N131" s="194">
        <v>2314234.5200415519</v>
      </c>
      <c r="O131" s="194">
        <f t="shared" ref="O131:P131" si="79">SUM(O132:O137)</f>
        <v>1677107.9583195364</v>
      </c>
      <c r="P131" s="194">
        <f t="shared" si="79"/>
        <v>1072631.4134967709</v>
      </c>
      <c r="Q131" s="194">
        <f>SUM(Q132:Q137)</f>
        <v>1807165.4608000629</v>
      </c>
      <c r="R131" s="194">
        <f>SUM(R132:R137)</f>
        <v>1753732.3468755372</v>
      </c>
      <c r="S131" s="194">
        <f>SUM(S132:S137)</f>
        <v>1699584.9795213989</v>
      </c>
      <c r="T131" s="194">
        <f>SUM(T132:T137)</f>
        <v>1690686.3880834379</v>
      </c>
      <c r="U131" s="194">
        <f>SUM(U132:U137)</f>
        <v>1681730.0619463734</v>
      </c>
    </row>
    <row r="132" spans="1:21" ht="14.4" hidden="1">
      <c r="A132" s="181"/>
      <c r="B132" s="205" t="s">
        <v>535</v>
      </c>
      <c r="C132" s="190" t="s">
        <v>850</v>
      </c>
      <c r="D132" s="190"/>
      <c r="E132" s="190"/>
      <c r="F132" s="190"/>
      <c r="G132" s="190"/>
      <c r="H132" s="190"/>
      <c r="I132" s="190"/>
      <c r="J132" s="190"/>
      <c r="K132" s="190"/>
      <c r="L132" s="182">
        <v>70734.001761562075</v>
      </c>
      <c r="M132" s="182">
        <v>70404.847643325964</v>
      </c>
      <c r="N132" s="182">
        <v>85226.367190531426</v>
      </c>
      <c r="O132" s="182">
        <f t="shared" ref="O132:Q132" si="80">+O27*O186*O63</f>
        <v>48735.125028487761</v>
      </c>
      <c r="P132" s="182">
        <f t="shared" si="80"/>
        <v>31169.624940917998</v>
      </c>
      <c r="Q132" s="182">
        <f t="shared" si="80"/>
        <v>52514.469472498611</v>
      </c>
      <c r="R132" s="182">
        <f>+R27*R186*R63</f>
        <v>50961.755185469359</v>
      </c>
      <c r="S132" s="182">
        <f>+S27*S186*S63</f>
        <v>49388.285388920594</v>
      </c>
      <c r="T132" s="182">
        <f>+T27*T186*T63</f>
        <v>49129.700982260794</v>
      </c>
      <c r="U132" s="182">
        <f>+U27*U186*U63</f>
        <v>48869.438861435199</v>
      </c>
    </row>
    <row r="133" spans="1:21" ht="14.4" hidden="1">
      <c r="A133" s="181"/>
      <c r="B133" s="205" t="s">
        <v>536</v>
      </c>
      <c r="C133" s="190" t="s">
        <v>851</v>
      </c>
      <c r="D133" s="190"/>
      <c r="E133" s="190"/>
      <c r="F133" s="190"/>
      <c r="G133" s="190"/>
      <c r="H133" s="190"/>
      <c r="I133" s="190"/>
      <c r="J133" s="190"/>
      <c r="K133" s="190"/>
      <c r="L133" s="182">
        <v>723350.36691648711</v>
      </c>
      <c r="M133" s="182">
        <v>708375.63763761194</v>
      </c>
      <c r="N133" s="182">
        <v>752854.35517065623</v>
      </c>
      <c r="O133" s="182">
        <f t="shared" ref="O133:Q133" si="81">+O28*O187*O63</f>
        <v>540701.64638307842</v>
      </c>
      <c r="P133" s="182">
        <f t="shared" si="81"/>
        <v>345817.67283547245</v>
      </c>
      <c r="Q133" s="182">
        <f t="shared" si="81"/>
        <v>582632.34343024704</v>
      </c>
      <c r="R133" s="182">
        <f>+R28*R187*R63</f>
        <v>565405.44248624647</v>
      </c>
      <c r="S133" s="182">
        <f>+S28*S187*S63</f>
        <v>547948.26536747115</v>
      </c>
      <c r="T133" s="182">
        <f>+T28*T187*T63</f>
        <v>545079.34866051259</v>
      </c>
      <c r="U133" s="182">
        <f>+U28*U187*U63</f>
        <v>542191.81821631466</v>
      </c>
    </row>
    <row r="134" spans="1:21" ht="14.4" hidden="1">
      <c r="A134" s="181"/>
      <c r="B134" s="205" t="s">
        <v>537</v>
      </c>
      <c r="C134" s="190" t="s">
        <v>852</v>
      </c>
      <c r="D134" s="190"/>
      <c r="E134" s="190"/>
      <c r="F134" s="190"/>
      <c r="G134" s="190"/>
      <c r="H134" s="190"/>
      <c r="I134" s="190"/>
      <c r="J134" s="190"/>
      <c r="K134" s="190"/>
      <c r="L134" s="182">
        <v>190479.23647929067</v>
      </c>
      <c r="M134" s="182">
        <v>185946.6279513237</v>
      </c>
      <c r="N134" s="182">
        <v>194220.90011611185</v>
      </c>
      <c r="O134" s="182">
        <f t="shared" ref="O134:Q134" si="82">+O29*O188*O63</f>
        <v>96752.014948824377</v>
      </c>
      <c r="P134" s="182">
        <f t="shared" si="82"/>
        <v>61879.886764835996</v>
      </c>
      <c r="Q134" s="182">
        <f t="shared" si="82"/>
        <v>104255.005654808</v>
      </c>
      <c r="R134" s="182">
        <f>+R29*R188*R63</f>
        <v>101172.46024588391</v>
      </c>
      <c r="S134" s="182">
        <f>+S29*S188*S63</f>
        <v>98048.70970275467</v>
      </c>
      <c r="T134" s="182">
        <f>+T29*T188*T63</f>
        <v>97535.351783511462</v>
      </c>
      <c r="U134" s="182">
        <f>+U29*U188*U63</f>
        <v>97018.663161290606</v>
      </c>
    </row>
    <row r="135" spans="1:21" ht="14.4" hidden="1">
      <c r="A135" s="181"/>
      <c r="B135" s="205" t="s">
        <v>538</v>
      </c>
      <c r="C135" s="190" t="s">
        <v>853</v>
      </c>
      <c r="D135" s="190"/>
      <c r="E135" s="190"/>
      <c r="F135" s="190"/>
      <c r="G135" s="190"/>
      <c r="H135" s="190"/>
      <c r="I135" s="190"/>
      <c r="J135" s="190"/>
      <c r="K135" s="190"/>
      <c r="L135" s="182">
        <v>17513.83915624928</v>
      </c>
      <c r="M135" s="182">
        <v>25337.589523476639</v>
      </c>
      <c r="N135" s="182">
        <v>48021.580144156746</v>
      </c>
      <c r="O135" s="182">
        <f t="shared" ref="O135:Q135" si="83">+O30*O189*O63</f>
        <v>27668.571071306542</v>
      </c>
      <c r="P135" s="182">
        <f t="shared" si="83"/>
        <v>17696.045356191</v>
      </c>
      <c r="Q135" s="182">
        <f t="shared" si="83"/>
        <v>29814.232137958912</v>
      </c>
      <c r="R135" s="182">
        <f>+R30*R189*R63</f>
        <v>28932.703967486606</v>
      </c>
      <c r="S135" s="182">
        <f>+S30*S189*S63</f>
        <v>28039.392195557932</v>
      </c>
      <c r="T135" s="182">
        <f>+T30*T189*T63</f>
        <v>27892.585123052915</v>
      </c>
      <c r="U135" s="182">
        <f>+U30*U189*U63</f>
        <v>27744.825555738324</v>
      </c>
    </row>
    <row r="136" spans="1:21" ht="14.4" hidden="1">
      <c r="A136" s="181"/>
      <c r="B136" s="205" t="s">
        <v>539</v>
      </c>
      <c r="C136" s="190" t="s">
        <v>854</v>
      </c>
      <c r="D136" s="190"/>
      <c r="E136" s="190"/>
      <c r="F136" s="190"/>
      <c r="G136" s="190"/>
      <c r="H136" s="190"/>
      <c r="I136" s="190"/>
      <c r="J136" s="190"/>
      <c r="K136" s="190"/>
      <c r="L136" s="182">
        <v>336844.33585887559</v>
      </c>
      <c r="M136" s="182">
        <v>349511.63494122896</v>
      </c>
      <c r="N136" s="182">
        <v>402141.24763221334</v>
      </c>
      <c r="O136" s="182">
        <f t="shared" ref="O136:Q136" si="84">+O31*O190*O63</f>
        <v>385070.04600297328</v>
      </c>
      <c r="P136" s="182">
        <f t="shared" si="84"/>
        <v>246280.04756074288</v>
      </c>
      <c r="Q136" s="182">
        <f t="shared" si="84"/>
        <v>414931.71842231444</v>
      </c>
      <c r="R136" s="182">
        <f>+R31*R190*R63</f>
        <v>402663.2824311002</v>
      </c>
      <c r="S136" s="182">
        <f>+S31*S190*S63</f>
        <v>390230.85127211269</v>
      </c>
      <c r="T136" s="182">
        <f>+T31*T190*T63</f>
        <v>388187.70253062621</v>
      </c>
      <c r="U136" s="182">
        <f>+U31*U190*U63</f>
        <v>386131.29769365164</v>
      </c>
    </row>
    <row r="137" spans="1:21" ht="14.4" hidden="1">
      <c r="A137" s="181"/>
      <c r="B137" s="205" t="s">
        <v>540</v>
      </c>
      <c r="C137" s="190" t="s">
        <v>855</v>
      </c>
      <c r="D137" s="190"/>
      <c r="E137" s="190"/>
      <c r="F137" s="190"/>
      <c r="G137" s="190"/>
      <c r="H137" s="190"/>
      <c r="I137" s="190"/>
      <c r="J137" s="190"/>
      <c r="K137" s="190"/>
      <c r="L137" s="182">
        <v>585013.14325271756</v>
      </c>
      <c r="M137" s="182">
        <v>687359.60975690628</v>
      </c>
      <c r="N137" s="182">
        <v>831770.06978788238</v>
      </c>
      <c r="O137" s="182">
        <f t="shared" ref="O137:Q137" si="85">+O32*O191*O63</f>
        <v>578180.554884866</v>
      </c>
      <c r="P137" s="182">
        <f t="shared" si="85"/>
        <v>369788.13603861054</v>
      </c>
      <c r="Q137" s="182">
        <f t="shared" si="85"/>
        <v>623017.6916822358</v>
      </c>
      <c r="R137" s="182">
        <f>+R32*R191*R63</f>
        <v>604596.70255935041</v>
      </c>
      <c r="S137" s="182">
        <f>+S32*S191*S63</f>
        <v>585929.47559458204</v>
      </c>
      <c r="T137" s="182">
        <f>+T32*T191*T63</f>
        <v>582861.69900347374</v>
      </c>
      <c r="U137" s="182">
        <f>+U32*U191*U63</f>
        <v>579774.01845794322</v>
      </c>
    </row>
    <row r="138" spans="1:21" ht="14.4" hidden="1">
      <c r="A138" s="181" t="s">
        <v>541</v>
      </c>
      <c r="B138" s="205" t="s">
        <v>542</v>
      </c>
      <c r="C138" s="190"/>
      <c r="D138" s="190"/>
      <c r="E138" s="190"/>
      <c r="F138" s="190"/>
      <c r="G138" s="190"/>
      <c r="H138" s="190"/>
      <c r="I138" s="190"/>
      <c r="J138" s="190"/>
      <c r="K138" s="190"/>
      <c r="L138" s="194">
        <v>582011.8814301705</v>
      </c>
      <c r="M138" s="194">
        <v>391100.07876862772</v>
      </c>
      <c r="N138" s="194">
        <v>702636.18034249858</v>
      </c>
      <c r="O138" s="194">
        <f t="shared" ref="O138:P138" si="86">SUM(O139:O144)</f>
        <v>389410.56341441418</v>
      </c>
      <c r="P138" s="194">
        <f t="shared" si="86"/>
        <v>249056.12127934015</v>
      </c>
      <c r="Q138" s="194">
        <f>SUM(Q139:Q144)</f>
        <v>419608.83721424785</v>
      </c>
      <c r="R138" s="194">
        <f>SUM(R139:R144)</f>
        <v>407202.11116234516</v>
      </c>
      <c r="S138" s="194">
        <f>SUM(S139:S144)</f>
        <v>394629.54138579383</v>
      </c>
      <c r="T138" s="194">
        <f>SUM(T139:T144)</f>
        <v>392563.36223002645</v>
      </c>
      <c r="U138" s="194">
        <f>SUM(U139:U144)</f>
        <v>390483.77755579242</v>
      </c>
    </row>
    <row r="139" spans="1:21" ht="14.4" hidden="1">
      <c r="A139" s="181"/>
      <c r="B139" s="205" t="s">
        <v>543</v>
      </c>
      <c r="C139" s="190" t="s">
        <v>856</v>
      </c>
      <c r="D139" s="190"/>
      <c r="E139" s="190"/>
      <c r="F139" s="190"/>
      <c r="G139" s="190"/>
      <c r="H139" s="190"/>
      <c r="I139" s="190"/>
      <c r="J139" s="190"/>
      <c r="K139" s="190"/>
      <c r="L139" s="182">
        <v>352229.9927574243</v>
      </c>
      <c r="M139" s="182">
        <v>216524.06055394048</v>
      </c>
      <c r="N139" s="182">
        <v>457206.33630395675</v>
      </c>
      <c r="O139" s="182">
        <f t="shared" ref="O139:Q139" si="87">+O34*O192*O63</f>
        <v>179294.0068475173</v>
      </c>
      <c r="P139" s="182">
        <f t="shared" si="87"/>
        <v>114671.43963054911</v>
      </c>
      <c r="Q139" s="182">
        <f t="shared" si="87"/>
        <v>193198.01977920698</v>
      </c>
      <c r="R139" s="182">
        <f>+R34*R192*R63</f>
        <v>187485.66414560331</v>
      </c>
      <c r="S139" s="182">
        <f>+S34*S192*S63</f>
        <v>181696.95006490959</v>
      </c>
      <c r="T139" s="182">
        <f>+T34*T192*T63</f>
        <v>180745.63139380282</v>
      </c>
      <c r="U139" s="182">
        <f>+U34*U192*U63</f>
        <v>179788.1404989672</v>
      </c>
    </row>
    <row r="140" spans="1:21" ht="14.4" hidden="1">
      <c r="A140" s="181"/>
      <c r="B140" s="205" t="s">
        <v>544</v>
      </c>
      <c r="C140" s="190" t="s">
        <v>857</v>
      </c>
      <c r="D140" s="190"/>
      <c r="E140" s="190"/>
      <c r="F140" s="190"/>
      <c r="G140" s="190"/>
      <c r="H140" s="190"/>
      <c r="I140" s="190"/>
      <c r="J140" s="190"/>
      <c r="K140" s="190"/>
      <c r="L140" s="182">
        <v>104096.68610534395</v>
      </c>
      <c r="M140" s="182">
        <v>88243.024334302594</v>
      </c>
      <c r="N140" s="182">
        <v>106121.2578890219</v>
      </c>
      <c r="O140" s="182">
        <f t="shared" ref="O140:Q140" si="88">+O35*O193*O63</f>
        <v>114338.97118930117</v>
      </c>
      <c r="P140" s="182">
        <f t="shared" si="88"/>
        <v>73128.012824788952</v>
      </c>
      <c r="Q140" s="182">
        <f t="shared" si="88"/>
        <v>123205.80707503256</v>
      </c>
      <c r="R140" s="182">
        <f>+R35*R193*R63</f>
        <v>119562.93647551986</v>
      </c>
      <c r="S140" s="182">
        <f>+S35*S193*S63</f>
        <v>115871.37073869944</v>
      </c>
      <c r="T140" s="182">
        <f>+T35*T193*T63</f>
        <v>115264.69793328867</v>
      </c>
      <c r="U140" s="182">
        <f>+U35*U193*U63</f>
        <v>114654.08899122995</v>
      </c>
    </row>
    <row r="141" spans="1:21" ht="14.4" hidden="1">
      <c r="A141" s="181"/>
      <c r="B141" s="205" t="s">
        <v>545</v>
      </c>
      <c r="C141" s="190" t="s">
        <v>858</v>
      </c>
      <c r="D141" s="190"/>
      <c r="E141" s="190"/>
      <c r="F141" s="190"/>
      <c r="G141" s="190"/>
      <c r="H141" s="190"/>
      <c r="I141" s="190"/>
      <c r="J141" s="190"/>
      <c r="K141" s="190"/>
      <c r="L141" s="182">
        <v>21339.362105812099</v>
      </c>
      <c r="M141" s="182">
        <v>7418.7524811459998</v>
      </c>
      <c r="N141" s="182">
        <v>34557.027686370398</v>
      </c>
      <c r="O141" s="182">
        <f t="shared" ref="O141:Q141" si="89">+O36*O194*O63</f>
        <v>21762.23648293642</v>
      </c>
      <c r="P141" s="182">
        <f t="shared" si="89"/>
        <v>13918.518699853199</v>
      </c>
      <c r="Q141" s="182">
        <f t="shared" si="89"/>
        <v>23449.869119416966</v>
      </c>
      <c r="R141" s="182">
        <f>+R36*R194*R63</f>
        <v>22756.518369110847</v>
      </c>
      <c r="S141" s="182">
        <f>+S36*S194*S63</f>
        <v>22053.899430691461</v>
      </c>
      <c r="T141" s="182">
        <f>+T36*T194*T63</f>
        <v>21938.430864534279</v>
      </c>
      <c r="U141" s="182">
        <f>+U36*U194*U63</f>
        <v>21822.213130043063</v>
      </c>
    </row>
    <row r="142" spans="1:21" ht="14.4" hidden="1">
      <c r="A142" s="181"/>
      <c r="B142" s="205" t="s">
        <v>546</v>
      </c>
      <c r="C142" s="190" t="s">
        <v>859</v>
      </c>
      <c r="D142" s="190"/>
      <c r="E142" s="190"/>
      <c r="F142" s="190"/>
      <c r="G142" s="190"/>
      <c r="H142" s="190"/>
      <c r="I142" s="190"/>
      <c r="J142" s="190"/>
      <c r="K142" s="190"/>
      <c r="L142" s="182">
        <v>39688.996523683498</v>
      </c>
      <c r="M142" s="182">
        <v>35255.239686437999</v>
      </c>
      <c r="N142" s="182">
        <v>24845.388060453999</v>
      </c>
      <c r="O142" s="182">
        <f t="shared" ref="O142:Q142" si="90">+O37*O195*O63</f>
        <v>26769.340715901308</v>
      </c>
      <c r="P142" s="182">
        <f t="shared" si="90"/>
        <v>17120.922733707001</v>
      </c>
      <c r="Q142" s="182">
        <f t="shared" si="90"/>
        <v>28845.26765864202</v>
      </c>
      <c r="R142" s="182">
        <f>+R37*R195*R63</f>
        <v>27992.38921091798</v>
      </c>
      <c r="S142" s="182">
        <f>+S37*S195*S63</f>
        <v>27128.110129549612</v>
      </c>
      <c r="T142" s="182">
        <f>+T37*T195*T63</f>
        <v>26986.074296428244</v>
      </c>
      <c r="U142" s="182">
        <f>+U37*U195*U63</f>
        <v>26843.116924640424</v>
      </c>
    </row>
    <row r="143" spans="1:21" ht="14.4" hidden="1">
      <c r="A143" s="181"/>
      <c r="B143" s="205" t="s">
        <v>547</v>
      </c>
      <c r="C143" s="190" t="s">
        <v>860</v>
      </c>
      <c r="D143" s="190"/>
      <c r="E143" s="190"/>
      <c r="F143" s="190"/>
      <c r="G143" s="190"/>
      <c r="H143" s="190"/>
      <c r="I143" s="190"/>
      <c r="J143" s="190"/>
      <c r="K143" s="190"/>
      <c r="L143" s="182">
        <v>28269.239353351681</v>
      </c>
      <c r="M143" s="182">
        <v>18842.44472834712</v>
      </c>
      <c r="N143" s="182">
        <v>37344.836081217356</v>
      </c>
      <c r="O143" s="182">
        <f t="shared" ref="O143:Q143" si="91">+O38*O196*O63</f>
        <v>21748.302721838285</v>
      </c>
      <c r="P143" s="182">
        <f t="shared" si="91"/>
        <v>13909.607055383398</v>
      </c>
      <c r="Q143" s="182">
        <f t="shared" si="91"/>
        <v>23434.854813587295</v>
      </c>
      <c r="R143" s="182">
        <f>+R38*R196*R63</f>
        <v>22741.947996684783</v>
      </c>
      <c r="S143" s="182">
        <f>+S38*S196*S63</f>
        <v>22039.77892583478</v>
      </c>
      <c r="T143" s="182">
        <f>+T38*T196*T63</f>
        <v>21924.384291022685</v>
      </c>
      <c r="U143" s="182">
        <f>+U38*U196*U63</f>
        <v>21808.240967548412</v>
      </c>
    </row>
    <row r="144" spans="1:21" ht="14.4" hidden="1">
      <c r="A144" s="181"/>
      <c r="B144" s="205" t="s">
        <v>548</v>
      </c>
      <c r="C144" s="190" t="s">
        <v>699</v>
      </c>
      <c r="D144" s="190"/>
      <c r="E144" s="190"/>
      <c r="F144" s="190"/>
      <c r="G144" s="190"/>
      <c r="H144" s="190"/>
      <c r="I144" s="190"/>
      <c r="J144" s="190"/>
      <c r="K144" s="190"/>
      <c r="L144" s="182">
        <v>36387.604584554996</v>
      </c>
      <c r="M144" s="182">
        <v>24816.556984453498</v>
      </c>
      <c r="N144" s="182">
        <v>42561.334321477989</v>
      </c>
      <c r="O144" s="182">
        <f t="shared" ref="O144:P144" si="92">SUM(O34:O38)*O197*O63</f>
        <v>25497.705456919706</v>
      </c>
      <c r="P144" s="182">
        <f t="shared" si="92"/>
        <v>16307.6203350585</v>
      </c>
      <c r="Q144" s="182">
        <f>SUM(Q34:Q38)*Q197*Q63</f>
        <v>27475.018768362024</v>
      </c>
      <c r="R144" s="182">
        <f>SUM(R34:R38)*R197*R63</f>
        <v>26662.654964508431</v>
      </c>
      <c r="S144" s="182">
        <f>SUM(S34:S38)*S197*S63</f>
        <v>25839.432096108932</v>
      </c>
      <c r="T144" s="182">
        <f>SUM(T34:T38)*T197*T63</f>
        <v>25704.143450949825</v>
      </c>
      <c r="U144" s="182">
        <f>SUM(U34:U38)*U197*U63</f>
        <v>25567.977043363404</v>
      </c>
    </row>
    <row r="145" spans="1:21" ht="14.4" hidden="1">
      <c r="A145" s="126" t="s">
        <v>752</v>
      </c>
      <c r="B145" s="126" t="s">
        <v>861</v>
      </c>
      <c r="C145" s="126"/>
      <c r="D145" s="126"/>
      <c r="E145" s="126"/>
      <c r="F145" s="126"/>
      <c r="G145" s="126"/>
      <c r="H145" s="126"/>
      <c r="I145" s="126"/>
      <c r="J145" s="126"/>
      <c r="K145" s="126"/>
      <c r="L145" s="449">
        <v>0</v>
      </c>
      <c r="M145" s="449">
        <v>0</v>
      </c>
      <c r="N145" s="449">
        <v>0</v>
      </c>
      <c r="O145" s="449">
        <f t="shared" ref="O145:R145" si="93">+O147/O149*O25*4*O148</f>
        <v>0</v>
      </c>
      <c r="P145" s="449">
        <f t="shared" si="93"/>
        <v>0</v>
      </c>
      <c r="Q145" s="449">
        <f t="shared" si="93"/>
        <v>0</v>
      </c>
      <c r="R145" s="449">
        <f t="shared" si="93"/>
        <v>0</v>
      </c>
      <c r="S145" s="449">
        <f t="shared" ref="S145:T145" si="94">+S147/S149*S25*4*S148</f>
        <v>0</v>
      </c>
      <c r="T145" s="449">
        <f t="shared" si="94"/>
        <v>0</v>
      </c>
      <c r="U145" s="449">
        <f t="shared" ref="U145" si="95">+U147/U149*U25*4*U148</f>
        <v>0</v>
      </c>
    </row>
    <row r="146" spans="1:21" ht="14.4" hidden="1">
      <c r="A146" s="126"/>
      <c r="B146" s="126" t="s">
        <v>753</v>
      </c>
      <c r="C146" s="126" t="s">
        <v>757</v>
      </c>
      <c r="D146" s="126"/>
      <c r="E146" s="126"/>
      <c r="F146" s="126"/>
      <c r="G146" s="126"/>
      <c r="H146" s="126"/>
      <c r="I146" s="126"/>
      <c r="J146" s="126"/>
      <c r="K146" s="126"/>
      <c r="L146" s="449">
        <v>314309.26</v>
      </c>
      <c r="M146" s="449">
        <v>316043.84000000003</v>
      </c>
      <c r="N146" s="449">
        <v>321539.55300000001</v>
      </c>
      <c r="O146" s="449">
        <f t="shared" ref="O146:Q146" si="96">+O88*0.001</f>
        <v>296818.9366666667</v>
      </c>
      <c r="P146" s="449">
        <f t="shared" si="96"/>
        <v>269193.83333333331</v>
      </c>
      <c r="Q146" s="449">
        <f t="shared" si="96"/>
        <v>252975.67666666667</v>
      </c>
      <c r="R146" s="449">
        <f>+R88*0.001</f>
        <v>267326.22333333333</v>
      </c>
      <c r="S146" s="449">
        <f>+S88*0.001</f>
        <v>281781.36</v>
      </c>
      <c r="T146" s="449">
        <f>+T88*0.001</f>
        <v>283381.73756666668</v>
      </c>
      <c r="U146" s="449">
        <f>+U88*0.001</f>
        <v>284982.11513333331</v>
      </c>
    </row>
    <row r="147" spans="1:21" ht="14.4" hidden="1">
      <c r="A147" s="126"/>
      <c r="B147" s="126" t="s">
        <v>754</v>
      </c>
      <c r="C147" s="126" t="s">
        <v>758</v>
      </c>
      <c r="D147" s="126"/>
      <c r="E147" s="126"/>
      <c r="F147" s="126"/>
      <c r="G147" s="126"/>
      <c r="H147" s="126"/>
      <c r="I147" s="126"/>
      <c r="J147" s="126"/>
      <c r="K147" s="126"/>
      <c r="L147" s="449">
        <v>226367.55</v>
      </c>
      <c r="M147" s="449">
        <v>231776.12</v>
      </c>
      <c r="N147" s="449">
        <v>231777.12</v>
      </c>
      <c r="O147" s="449">
        <v>231778.12</v>
      </c>
      <c r="P147" s="449">
        <v>231779.12</v>
      </c>
      <c r="Q147" s="449">
        <v>231780.12</v>
      </c>
      <c r="R147" s="449">
        <v>231780.12</v>
      </c>
      <c r="S147" s="449">
        <v>231780.12</v>
      </c>
      <c r="T147" s="449">
        <v>231780.12</v>
      </c>
      <c r="U147" s="449">
        <v>231780.12</v>
      </c>
    </row>
    <row r="148" spans="1:21" hidden="1">
      <c r="A148" s="126"/>
      <c r="B148" s="126" t="s">
        <v>755</v>
      </c>
      <c r="C148" s="126" t="s">
        <v>759</v>
      </c>
      <c r="D148" s="126"/>
      <c r="E148" s="126"/>
      <c r="F148" s="126"/>
      <c r="G148" s="126"/>
      <c r="H148" s="126"/>
      <c r="I148" s="126"/>
      <c r="J148" s="126"/>
      <c r="K148" s="126"/>
      <c r="L148" s="159">
        <v>0</v>
      </c>
      <c r="M148" s="159">
        <v>0</v>
      </c>
      <c r="N148" s="159">
        <v>0</v>
      </c>
      <c r="O148" s="159">
        <f t="shared" ref="O148:Q148" si="97">IF(O146&lt;O147,(O147/O146)-1,0)</f>
        <v>0</v>
      </c>
      <c r="P148" s="159">
        <f t="shared" si="97"/>
        <v>0</v>
      </c>
      <c r="Q148" s="159">
        <f t="shared" si="97"/>
        <v>0</v>
      </c>
      <c r="R148" s="159">
        <f>IF(R146&lt;R147,(R147/R146)-1,0)</f>
        <v>0</v>
      </c>
      <c r="S148" s="159">
        <f>IF(S146&lt;S147,(S147/S146)-1,0)</f>
        <v>0</v>
      </c>
      <c r="T148" s="159">
        <f>IF(T146&lt;T147,(T147/T146)-1,0)</f>
        <v>0</v>
      </c>
      <c r="U148" s="159">
        <f>IF(U146&lt;U147,(U147/U146)-1,0)</f>
        <v>0</v>
      </c>
    </row>
    <row r="149" spans="1:21" hidden="1">
      <c r="A149" s="126"/>
      <c r="B149" s="126" t="s">
        <v>756</v>
      </c>
      <c r="C149" s="126" t="s">
        <v>760</v>
      </c>
      <c r="D149" s="126"/>
      <c r="E149" s="126"/>
      <c r="F149" s="126"/>
      <c r="G149" s="126"/>
      <c r="H149" s="126"/>
      <c r="I149" s="126"/>
      <c r="J149" s="126"/>
      <c r="K149" s="126"/>
      <c r="L149" s="159">
        <v>1036.82</v>
      </c>
      <c r="M149" s="159">
        <v>1029.81</v>
      </c>
      <c r="N149" s="159">
        <v>1022.34</v>
      </c>
      <c r="O149" s="159">
        <v>1038.77</v>
      </c>
      <c r="P149" s="159">
        <v>1038.77</v>
      </c>
      <c r="Q149" s="159">
        <v>1038.77</v>
      </c>
      <c r="R149" s="159">
        <v>1038.77</v>
      </c>
      <c r="S149" s="159">
        <v>1038.77</v>
      </c>
      <c r="T149" s="159">
        <v>1038.77</v>
      </c>
      <c r="U149" s="159">
        <v>1038.77</v>
      </c>
    </row>
    <row r="150" spans="1:21" ht="14.4" hidden="1">
      <c r="A150" s="126" t="s">
        <v>761</v>
      </c>
      <c r="B150" s="126" t="s">
        <v>762</v>
      </c>
      <c r="C150" s="126"/>
      <c r="D150" s="126"/>
      <c r="E150" s="126"/>
      <c r="F150" s="126"/>
      <c r="G150" s="126"/>
      <c r="H150" s="126"/>
      <c r="I150" s="126"/>
      <c r="J150" s="126"/>
      <c r="K150" s="126"/>
      <c r="L150" s="449">
        <v>60744.037949261998</v>
      </c>
      <c r="M150" s="449">
        <v>50467.444440694548</v>
      </c>
      <c r="N150" s="449">
        <v>60463.062688937593</v>
      </c>
      <c r="O150" s="449">
        <f t="shared" ref="O150:Q150" si="98">+O105*0.075*O90*O91*O85</f>
        <v>65145.141702306522</v>
      </c>
      <c r="P150" s="449">
        <f t="shared" si="98"/>
        <v>48183.902030846097</v>
      </c>
      <c r="Q150" s="449">
        <f t="shared" si="98"/>
        <v>81585.961247410451</v>
      </c>
      <c r="R150" s="449">
        <f>+R105*0.075*R90*R91*R85</f>
        <v>79569.548060812143</v>
      </c>
      <c r="S150" s="449">
        <f>+S105*0.075*S90*S91*S85</f>
        <v>77498.362276980566</v>
      </c>
      <c r="T150" s="449">
        <f>+T105*0.075*T90*T91*T85</f>
        <v>77478.063714432996</v>
      </c>
      <c r="U150" s="449">
        <f>+U105*0.075*U90*U91*U85</f>
        <v>77452.965705160561</v>
      </c>
    </row>
    <row r="151" spans="1:21" ht="14.4" hidden="1">
      <c r="A151" s="126" t="s">
        <v>763</v>
      </c>
      <c r="B151" s="126" t="s">
        <v>764</v>
      </c>
      <c r="C151" s="126"/>
      <c r="D151" s="126"/>
      <c r="E151" s="126"/>
      <c r="F151" s="126"/>
      <c r="G151" s="126"/>
      <c r="H151" s="126"/>
      <c r="I151" s="126"/>
      <c r="J151" s="126"/>
      <c r="K151" s="126"/>
      <c r="L151" s="449">
        <v>20912.2253643357</v>
      </c>
      <c r="M151" s="449">
        <v>29900.123416860602</v>
      </c>
      <c r="N151" s="449">
        <v>22845.393776369634</v>
      </c>
      <c r="O151" s="449">
        <f t="shared" ref="O151:Q151" si="99">+O105*0.075*O93*O94*O85</f>
        <v>24614.472847054218</v>
      </c>
      <c r="P151" s="449">
        <f t="shared" si="99"/>
        <v>29789.730615076136</v>
      </c>
      <c r="Q151" s="449">
        <f t="shared" si="99"/>
        <v>50440.576729890061</v>
      </c>
      <c r="R151" s="449">
        <f>+R105*0.075*R93*R94*R85</f>
        <v>49193.927888561338</v>
      </c>
      <c r="S151" s="449">
        <f>+S105*0.075*S93*S94*S85</f>
        <v>47913.415851270976</v>
      </c>
      <c r="T151" s="449">
        <f>+T105*0.075*T93*T94*T85</f>
        <v>47900.866250996209</v>
      </c>
      <c r="U151" s="449">
        <f>+U105*0.075*U93*U94*U85</f>
        <v>47885.349389478397</v>
      </c>
    </row>
    <row r="152" spans="1:21" ht="14.4" hidden="1">
      <c r="A152" s="181" t="s">
        <v>700</v>
      </c>
      <c r="B152" s="205" t="s">
        <v>765</v>
      </c>
      <c r="C152" s="190"/>
      <c r="D152" s="190"/>
      <c r="E152" s="190"/>
      <c r="F152" s="190"/>
      <c r="G152" s="190"/>
      <c r="H152" s="190"/>
      <c r="I152" s="190"/>
      <c r="J152" s="190"/>
      <c r="K152" s="190"/>
      <c r="L152" s="182">
        <v>19255798.599151984</v>
      </c>
      <c r="M152" s="182">
        <v>19426585.533783145</v>
      </c>
      <c r="N152" s="182">
        <v>20509584.601589654</v>
      </c>
      <c r="O152" s="182">
        <f t="shared" ref="O152:R152" si="100">+O106+O107+O116+O117+O118+O122+O126+O131+O138+O145+O150+O151</f>
        <v>17653106.252831988</v>
      </c>
      <c r="P152" s="182">
        <f t="shared" si="100"/>
        <v>12744801.468710044</v>
      </c>
      <c r="Q152" s="182">
        <f t="shared" si="100"/>
        <v>19614178.878370922</v>
      </c>
      <c r="R152" s="182">
        <f t="shared" si="100"/>
        <v>19055090.993989974</v>
      </c>
      <c r="S152" s="182">
        <f t="shared" ref="S152:T152" si="101">+S106+S107+S116+S117+S118+S122+S126+S131+S138+S145+S150+S151</f>
        <v>18490550.628882725</v>
      </c>
      <c r="T152" s="182">
        <f t="shared" si="101"/>
        <v>18405722.996894147</v>
      </c>
      <c r="U152" s="182">
        <f t="shared" ref="U152" si="102">+U106+U107+U116+U117+U118+U122+U126+U131+U138+U145+U150+U151</f>
        <v>18320238.04895138</v>
      </c>
    </row>
    <row r="153" spans="1:21" ht="14.4" hidden="1">
      <c r="A153" s="181" t="s">
        <v>800</v>
      </c>
      <c r="B153" s="205" t="s">
        <v>862</v>
      </c>
      <c r="C153" s="190"/>
      <c r="D153" s="190"/>
      <c r="E153" s="190"/>
      <c r="F153" s="190"/>
      <c r="G153" s="190"/>
      <c r="H153" s="190"/>
      <c r="I153" s="190"/>
      <c r="J153" s="190"/>
      <c r="K153" s="190"/>
      <c r="L153" s="182">
        <v>19575090.52</v>
      </c>
      <c r="M153" s="182">
        <v>19575090.52</v>
      </c>
      <c r="N153" s="182">
        <v>20335706.620000001</v>
      </c>
      <c r="O153" s="182">
        <f t="shared" ref="O153:U153" si="103">N153</f>
        <v>20335706.620000001</v>
      </c>
      <c r="P153" s="182">
        <f t="shared" si="103"/>
        <v>20335706.620000001</v>
      </c>
      <c r="Q153" s="182">
        <f t="shared" si="103"/>
        <v>20335706.620000001</v>
      </c>
      <c r="R153" s="182">
        <f t="shared" si="103"/>
        <v>20335706.620000001</v>
      </c>
      <c r="S153" s="182">
        <f t="shared" si="103"/>
        <v>20335706.620000001</v>
      </c>
      <c r="T153" s="182">
        <f t="shared" si="103"/>
        <v>20335706.620000001</v>
      </c>
      <c r="U153" s="182">
        <f t="shared" si="103"/>
        <v>20335706.620000001</v>
      </c>
    </row>
    <row r="154" spans="1:21" ht="14.4" hidden="1">
      <c r="A154" s="181" t="s">
        <v>549</v>
      </c>
      <c r="B154" s="205" t="s">
        <v>863</v>
      </c>
      <c r="C154" s="190"/>
      <c r="D154" s="190"/>
      <c r="E154" s="190"/>
      <c r="F154" s="190"/>
      <c r="G154" s="190"/>
      <c r="H154" s="190"/>
      <c r="I154" s="190"/>
      <c r="J154" s="190"/>
      <c r="K154" s="190"/>
      <c r="L154" s="195">
        <v>319291.9208480157</v>
      </c>
      <c r="M154" s="195">
        <v>148504.9862168543</v>
      </c>
      <c r="N154" s="195">
        <v>0</v>
      </c>
      <c r="O154" s="195">
        <f t="shared" ref="O154:Q154" si="104">IF(O153&gt;O152,O153-O152,0)</f>
        <v>2682600.367168013</v>
      </c>
      <c r="P154" s="195">
        <f t="shared" si="104"/>
        <v>7590905.1512899566</v>
      </c>
      <c r="Q154" s="195">
        <f t="shared" si="104"/>
        <v>721527.74162907898</v>
      </c>
      <c r="R154" s="195">
        <f>IF(R153&gt;R152,R153-R152,0)</f>
        <v>1280615.6260100268</v>
      </c>
      <c r="S154" s="195">
        <f>IF(S153&gt;S152,S153-S152,0)</f>
        <v>1845155.9911172763</v>
      </c>
      <c r="T154" s="195">
        <f>IF(T153&gt;T152,T153-T152,0)</f>
        <v>1929983.6231058538</v>
      </c>
      <c r="U154" s="195">
        <f>IF(U153&gt;U152,U153-U152,0)</f>
        <v>2015468.5710486211</v>
      </c>
    </row>
    <row r="155" spans="1:21" ht="14.4" hidden="1">
      <c r="A155" s="181" t="s">
        <v>550</v>
      </c>
      <c r="B155" s="205" t="s">
        <v>814</v>
      </c>
      <c r="C155" s="190"/>
      <c r="D155" s="190"/>
      <c r="E155" s="190"/>
      <c r="F155" s="190"/>
      <c r="G155" s="190"/>
      <c r="H155" s="190"/>
      <c r="I155" s="190"/>
      <c r="J155" s="190"/>
      <c r="K155" s="190"/>
      <c r="L155" s="182">
        <v>17942668.260000002</v>
      </c>
      <c r="M155" s="182">
        <v>19575090.52</v>
      </c>
      <c r="N155" s="182">
        <v>20509584.601589654</v>
      </c>
      <c r="O155" s="182">
        <f t="shared" ref="O155:Q155" si="105">+O152+O154</f>
        <v>20335706.620000001</v>
      </c>
      <c r="P155" s="182">
        <f t="shared" si="105"/>
        <v>20335706.620000001</v>
      </c>
      <c r="Q155" s="182">
        <f t="shared" si="105"/>
        <v>20335706.620000001</v>
      </c>
      <c r="R155" s="182">
        <f>+R152+R154</f>
        <v>20335706.620000001</v>
      </c>
      <c r="S155" s="182">
        <f>+S152+S154</f>
        <v>20335706.620000001</v>
      </c>
      <c r="T155" s="182">
        <f>+T152+T154</f>
        <v>20335706.620000001</v>
      </c>
      <c r="U155" s="182">
        <f>+U152+U154</f>
        <v>20335706.620000001</v>
      </c>
    </row>
    <row r="156" spans="1:21" ht="14.4" hidden="1">
      <c r="A156" s="181" t="s">
        <v>815</v>
      </c>
      <c r="B156" s="205" t="s">
        <v>864</v>
      </c>
      <c r="C156" s="190"/>
      <c r="D156" s="190"/>
      <c r="E156" s="190"/>
      <c r="F156" s="190"/>
      <c r="G156" s="190"/>
      <c r="H156" s="190"/>
      <c r="I156" s="190"/>
      <c r="J156" s="190"/>
      <c r="K156" s="190"/>
      <c r="L156" s="185">
        <v>20162343.235599998</v>
      </c>
      <c r="M156" s="185">
        <v>18272576.148695551</v>
      </c>
      <c r="N156" s="185">
        <v>18820753.43315642</v>
      </c>
      <c r="O156" s="185">
        <f t="shared" ref="O156:U156" si="106">(N156*(1+O158))</f>
        <v>18820753.43315642</v>
      </c>
      <c r="P156" s="185">
        <f t="shared" si="106"/>
        <v>18820753.43315642</v>
      </c>
      <c r="Q156" s="185">
        <f t="shared" si="106"/>
        <v>18820753.43315642</v>
      </c>
      <c r="R156" s="185">
        <f t="shared" si="106"/>
        <v>18820753.43315642</v>
      </c>
      <c r="S156" s="185">
        <f t="shared" si="106"/>
        <v>18820753.43315642</v>
      </c>
      <c r="T156" s="185">
        <f t="shared" si="106"/>
        <v>18820753.43315642</v>
      </c>
      <c r="U156" s="185">
        <f t="shared" si="106"/>
        <v>18820753.43315642</v>
      </c>
    </row>
    <row r="157" spans="1:21" ht="14.4">
      <c r="A157" s="181" t="s">
        <v>816</v>
      </c>
      <c r="B157" s="205" t="s">
        <v>801</v>
      </c>
      <c r="C157" s="190"/>
      <c r="D157" s="190"/>
      <c r="E157" s="190"/>
      <c r="F157" s="190"/>
      <c r="G157" s="190"/>
      <c r="H157" s="190"/>
      <c r="I157" s="190"/>
      <c r="J157" s="190"/>
      <c r="K157" s="190"/>
      <c r="L157" s="191">
        <v>17942668.260000002</v>
      </c>
      <c r="M157" s="191">
        <v>18961855.795321733</v>
      </c>
      <c r="N157" s="191">
        <v>19858497.069964226</v>
      </c>
      <c r="O157" s="191">
        <f t="shared" ref="O157" si="107">IF((O155-(O130+O145+O150+O151))&gt;O156,(O156+O130+O138+O145+O150+O151),O155)</f>
        <v>19499923.611120194</v>
      </c>
      <c r="P157" s="191">
        <v>18931376</v>
      </c>
      <c r="Q157" s="191">
        <v>19117236</v>
      </c>
      <c r="R157" s="191">
        <f>+Q157</f>
        <v>19117236</v>
      </c>
      <c r="S157" s="191">
        <f t="shared" ref="S157:U157" si="108">+R157</f>
        <v>19117236</v>
      </c>
      <c r="T157" s="191">
        <f t="shared" si="108"/>
        <v>19117236</v>
      </c>
      <c r="U157" s="191">
        <f t="shared" si="108"/>
        <v>19117236</v>
      </c>
    </row>
    <row r="158" spans="1:21" ht="14.4">
      <c r="A158" s="181"/>
      <c r="B158" s="190"/>
      <c r="C158" s="190" t="s">
        <v>250</v>
      </c>
      <c r="D158" s="190"/>
      <c r="E158" s="190" t="s">
        <v>802</v>
      </c>
      <c r="F158" s="190"/>
      <c r="G158" s="190"/>
      <c r="H158" s="190"/>
      <c r="I158" s="190"/>
      <c r="J158" s="190"/>
      <c r="K158" s="190"/>
      <c r="L158" s="186">
        <v>7.4999999999999997E-2</v>
      </c>
      <c r="M158" s="455">
        <v>0.03</v>
      </c>
      <c r="N158" s="455">
        <v>0.03</v>
      </c>
      <c r="O158" s="455">
        <v>0</v>
      </c>
      <c r="P158" s="455">
        <v>0</v>
      </c>
      <c r="Q158" s="455">
        <v>0</v>
      </c>
      <c r="R158" s="455">
        <v>0</v>
      </c>
      <c r="S158" s="455">
        <v>0</v>
      </c>
      <c r="T158" s="455">
        <v>0</v>
      </c>
      <c r="U158" s="455">
        <v>0</v>
      </c>
    </row>
    <row r="159" spans="1:21" ht="15" hidden="1" thickBot="1">
      <c r="A159" s="641" t="s">
        <v>865</v>
      </c>
      <c r="B159" s="641"/>
      <c r="C159" s="641"/>
      <c r="D159" s="641"/>
      <c r="E159" s="641"/>
      <c r="F159" s="641"/>
      <c r="G159" s="641"/>
      <c r="H159" s="641"/>
      <c r="I159" s="641"/>
      <c r="J159" s="641"/>
      <c r="K159" s="641"/>
      <c r="L159" s="456"/>
      <c r="M159" s="456"/>
      <c r="N159" s="456"/>
      <c r="O159" s="456"/>
      <c r="P159" s="456"/>
      <c r="Q159" s="456"/>
      <c r="R159" s="456"/>
      <c r="S159" s="456"/>
      <c r="T159" s="456"/>
      <c r="U159" s="456"/>
    </row>
    <row r="160" spans="1:21" ht="14.4" hidden="1">
      <c r="A160" s="181"/>
      <c r="B160" s="190" t="s">
        <v>866</v>
      </c>
      <c r="C160" s="190"/>
      <c r="D160" s="190"/>
      <c r="E160" s="190"/>
      <c r="F160" s="190"/>
      <c r="G160" s="190"/>
      <c r="H160" s="190"/>
      <c r="I160" s="190"/>
      <c r="J160" s="190"/>
      <c r="K160" s="182"/>
      <c r="L160" s="182">
        <v>208039</v>
      </c>
      <c r="M160" s="182">
        <v>217812</v>
      </c>
      <c r="N160" s="182">
        <v>251799</v>
      </c>
      <c r="O160" s="182">
        <f t="shared" ref="O160:Q160" si="109">+O130</f>
        <v>200000</v>
      </c>
      <c r="P160" s="182">
        <f t="shared" si="109"/>
        <v>0</v>
      </c>
      <c r="Q160" s="182">
        <f t="shared" si="109"/>
        <v>0</v>
      </c>
      <c r="R160" s="182">
        <f>+R130</f>
        <v>0</v>
      </c>
      <c r="S160" s="182">
        <f>+S130</f>
        <v>0</v>
      </c>
      <c r="T160" s="182">
        <f>+T130</f>
        <v>0</v>
      </c>
      <c r="U160" s="182">
        <f>+U130</f>
        <v>0</v>
      </c>
    </row>
    <row r="161" spans="1:21" ht="14.4" hidden="1">
      <c r="A161" s="181"/>
      <c r="B161" s="190" t="s">
        <v>867</v>
      </c>
      <c r="C161" s="190"/>
      <c r="D161" s="190"/>
      <c r="E161" s="190"/>
      <c r="F161" s="190"/>
      <c r="G161" s="190"/>
      <c r="H161" s="190"/>
      <c r="I161" s="190"/>
      <c r="J161" s="190"/>
      <c r="K161" s="182"/>
      <c r="L161" s="182">
        <v>0</v>
      </c>
      <c r="M161" s="182">
        <v>0</v>
      </c>
      <c r="N161" s="182">
        <v>0</v>
      </c>
      <c r="O161" s="182">
        <f t="shared" ref="O161:Q161" si="110">+O145</f>
        <v>0</v>
      </c>
      <c r="P161" s="182">
        <f t="shared" si="110"/>
        <v>0</v>
      </c>
      <c r="Q161" s="182">
        <f t="shared" si="110"/>
        <v>0</v>
      </c>
      <c r="R161" s="182">
        <f>+R145</f>
        <v>0</v>
      </c>
      <c r="S161" s="182">
        <f>+S145</f>
        <v>0</v>
      </c>
      <c r="T161" s="182">
        <f>+T145</f>
        <v>0</v>
      </c>
      <c r="U161" s="182">
        <f>+U145</f>
        <v>0</v>
      </c>
    </row>
    <row r="162" spans="1:21" ht="14.4" hidden="1">
      <c r="A162" s="181"/>
      <c r="B162" s="190" t="s">
        <v>868</v>
      </c>
      <c r="C162" s="190"/>
      <c r="D162" s="190"/>
      <c r="E162" s="190"/>
      <c r="F162" s="190"/>
      <c r="G162" s="190"/>
      <c r="H162" s="190"/>
      <c r="I162" s="190"/>
      <c r="J162" s="190"/>
      <c r="K162" s="182"/>
      <c r="L162" s="182">
        <v>60744.037949261998</v>
      </c>
      <c r="M162" s="182">
        <v>50467.444440694548</v>
      </c>
      <c r="N162" s="182">
        <v>60463.062688937593</v>
      </c>
      <c r="O162" s="182">
        <f t="shared" ref="O162:O163" si="111">+O150</f>
        <v>65145.141702306522</v>
      </c>
      <c r="P162" s="182">
        <f t="shared" ref="P162:R163" si="112">+P150</f>
        <v>48183.902030846097</v>
      </c>
      <c r="Q162" s="182">
        <f t="shared" si="112"/>
        <v>81585.961247410451</v>
      </c>
      <c r="R162" s="182">
        <f t="shared" si="112"/>
        <v>79569.548060812143</v>
      </c>
      <c r="S162" s="182">
        <f t="shared" ref="S162:T162" si="113">+S150</f>
        <v>77498.362276980566</v>
      </c>
      <c r="T162" s="182">
        <f t="shared" si="113"/>
        <v>77478.063714432996</v>
      </c>
      <c r="U162" s="182">
        <f t="shared" ref="U162" si="114">+U150</f>
        <v>77452.965705160561</v>
      </c>
    </row>
    <row r="163" spans="1:21" ht="14.4" hidden="1">
      <c r="A163" s="181"/>
      <c r="B163" s="190" t="s">
        <v>869</v>
      </c>
      <c r="C163" s="190"/>
      <c r="D163" s="190"/>
      <c r="E163" s="190"/>
      <c r="F163" s="190"/>
      <c r="G163" s="190"/>
      <c r="H163" s="190"/>
      <c r="I163" s="190"/>
      <c r="J163" s="190"/>
      <c r="K163" s="182"/>
      <c r="L163" s="182">
        <v>20912.2253643357</v>
      </c>
      <c r="M163" s="182">
        <v>29900.123416860602</v>
      </c>
      <c r="N163" s="182">
        <v>22845.393776369634</v>
      </c>
      <c r="O163" s="182">
        <f t="shared" si="111"/>
        <v>24614.472847054218</v>
      </c>
      <c r="P163" s="182">
        <f t="shared" si="112"/>
        <v>29789.730615076136</v>
      </c>
      <c r="Q163" s="182">
        <f t="shared" si="112"/>
        <v>50440.576729890061</v>
      </c>
      <c r="R163" s="182">
        <f t="shared" si="112"/>
        <v>49193.927888561338</v>
      </c>
      <c r="S163" s="182">
        <f t="shared" ref="S163:T163" si="115">+S151</f>
        <v>47913.415851270976</v>
      </c>
      <c r="T163" s="182">
        <f t="shared" si="115"/>
        <v>47900.866250996209</v>
      </c>
      <c r="U163" s="182">
        <f t="shared" ref="U163" si="116">+U151</f>
        <v>47885.349389478397</v>
      </c>
    </row>
    <row r="164" spans="1:21" ht="14.4" hidden="1">
      <c r="A164" s="181"/>
      <c r="B164" s="190" t="s">
        <v>870</v>
      </c>
      <c r="C164" s="190"/>
      <c r="D164" s="190"/>
      <c r="E164" s="190"/>
      <c r="F164" s="190"/>
      <c r="G164" s="190"/>
      <c r="H164" s="190"/>
      <c r="I164" s="190"/>
      <c r="J164" s="190"/>
      <c r="K164" s="182"/>
      <c r="L164" s="182">
        <v>0</v>
      </c>
      <c r="M164" s="182">
        <v>149674.58164070081</v>
      </c>
      <c r="N164" s="182">
        <v>335107.45646530722</v>
      </c>
      <c r="O164" s="182">
        <f t="shared" ref="O164:Q164" si="117">IF(O154=0,(O130+O145+O150+O151),IF((O130+O145+O150+O151)&gt;O154,(O130+O145+O150+O151-O154),0))</f>
        <v>0</v>
      </c>
      <c r="P164" s="182">
        <f t="shared" si="117"/>
        <v>0</v>
      </c>
      <c r="Q164" s="182">
        <f t="shared" si="117"/>
        <v>0</v>
      </c>
      <c r="R164" s="182">
        <f>IF(R154=0,(R130+R145+R150+R151),IF((R130+R145+R150+R151)&gt;R154,(R130+R145+R150+R151-R154),0))</f>
        <v>0</v>
      </c>
      <c r="S164" s="182">
        <f>IF(S154=0,(S130+S145+S150+S151),IF((S130+S145+S150+S151)&gt;S154,(S130+S145+S150+S151-S154),0))</f>
        <v>0</v>
      </c>
      <c r="T164" s="182">
        <f>IF(T154=0,(T130+T145+T150+T151),IF((T130+T145+T150+T151)&gt;T154,(T130+T145+T150+T151-T154),0))</f>
        <v>0</v>
      </c>
      <c r="U164" s="182">
        <f>IF(U154=0,(U130+U145+U150+U151),IF((U130+U145+U150+U151)&gt;U154,(U130+U145+U150+U151-U154),0))</f>
        <v>0</v>
      </c>
    </row>
    <row r="165" spans="1:21" ht="14.4" hidden="1">
      <c r="A165" s="181"/>
      <c r="B165" s="190" t="s">
        <v>871</v>
      </c>
      <c r="C165" s="190"/>
      <c r="D165" s="190"/>
      <c r="E165" s="190"/>
      <c r="F165" s="190"/>
      <c r="G165" s="190"/>
      <c r="H165" s="190"/>
      <c r="I165" s="190"/>
      <c r="J165" s="190"/>
      <c r="K165" s="182"/>
      <c r="L165" s="182">
        <v>0</v>
      </c>
      <c r="M165" s="182">
        <v>0</v>
      </c>
      <c r="N165" s="182">
        <v>0</v>
      </c>
      <c r="O165" s="182">
        <v>0</v>
      </c>
      <c r="P165" s="182">
        <v>0</v>
      </c>
      <c r="Q165" s="182">
        <v>0</v>
      </c>
      <c r="R165" s="182">
        <v>0</v>
      </c>
      <c r="S165" s="182">
        <v>0</v>
      </c>
      <c r="T165" s="182">
        <v>0</v>
      </c>
      <c r="U165" s="182">
        <v>0</v>
      </c>
    </row>
    <row r="166" spans="1:21" ht="14.4" hidden="1">
      <c r="A166" s="181"/>
      <c r="B166" s="182"/>
      <c r="C166" s="182"/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</row>
    <row r="167" spans="1:21" ht="14.4" hidden="1">
      <c r="A167" s="181"/>
      <c r="B167" s="182"/>
      <c r="C167" s="182"/>
      <c r="D167" s="182"/>
      <c r="E167" s="182"/>
      <c r="F167" s="182"/>
      <c r="G167" s="182"/>
      <c r="H167" s="182"/>
      <c r="I167" s="182"/>
      <c r="J167" s="182"/>
      <c r="K167" s="182"/>
      <c r="L167" s="600">
        <v>1313130.3391519822</v>
      </c>
      <c r="M167" s="600">
        <v>464729.73846141249</v>
      </c>
      <c r="N167" s="600">
        <v>651087.53162542731</v>
      </c>
      <c r="O167" s="600">
        <f t="shared" ref="O167:Q167" si="118">O152-O157</f>
        <v>-1846817.3582882062</v>
      </c>
      <c r="P167" s="600">
        <f t="shared" si="118"/>
        <v>-6186574.5312899556</v>
      </c>
      <c r="Q167" s="600">
        <f t="shared" si="118"/>
        <v>496942.87837092206</v>
      </c>
      <c r="R167" s="600">
        <f>R152-R157</f>
        <v>-62145.00601002574</v>
      </c>
      <c r="S167" s="600">
        <f>S152-S157</f>
        <v>-626685.37111727521</v>
      </c>
      <c r="T167" s="600">
        <f>T152-T157</f>
        <v>-711513.00310585275</v>
      </c>
      <c r="U167" s="600">
        <f>U152-U157</f>
        <v>-796997.95104862005</v>
      </c>
    </row>
    <row r="168" spans="1:21" ht="14.4" hidden="1">
      <c r="A168" s="181"/>
      <c r="B168" s="182"/>
      <c r="C168" s="182"/>
      <c r="D168" s="182"/>
      <c r="E168" s="182"/>
      <c r="F168" s="182"/>
      <c r="G168" s="182"/>
      <c r="H168" s="182"/>
      <c r="I168" s="182"/>
      <c r="J168" s="182"/>
      <c r="K168" s="182"/>
      <c r="L168" s="601" t="s">
        <v>886</v>
      </c>
      <c r="M168" s="601" t="s">
        <v>886</v>
      </c>
      <c r="N168" s="601" t="s">
        <v>886</v>
      </c>
      <c r="O168" s="601" t="s">
        <v>886</v>
      </c>
      <c r="P168" s="601" t="s">
        <v>886</v>
      </c>
      <c r="Q168" s="601" t="s">
        <v>886</v>
      </c>
      <c r="R168" s="601" t="s">
        <v>886</v>
      </c>
      <c r="S168" s="601" t="s">
        <v>886</v>
      </c>
      <c r="T168" s="601" t="s">
        <v>886</v>
      </c>
      <c r="U168" s="601" t="s">
        <v>886</v>
      </c>
    </row>
    <row r="169" spans="1:21" ht="14.4" hidden="1">
      <c r="A169" s="181"/>
      <c r="B169" s="182"/>
      <c r="C169" s="182"/>
      <c r="D169" s="182"/>
      <c r="E169" s="182"/>
      <c r="F169" s="182"/>
      <c r="G169" s="182"/>
      <c r="H169" s="182"/>
      <c r="I169" s="182"/>
      <c r="J169" s="182"/>
      <c r="K169" s="182"/>
      <c r="L169" s="181"/>
      <c r="M169" s="181"/>
      <c r="N169" s="181"/>
      <c r="O169" s="181"/>
      <c r="P169" s="181"/>
      <c r="Q169" s="181"/>
      <c r="R169" s="181"/>
      <c r="S169" s="181"/>
      <c r="T169" s="181"/>
      <c r="U169" s="181"/>
    </row>
    <row r="170" spans="1:21" ht="14.4" hidden="1">
      <c r="A170" s="181"/>
      <c r="B170" s="182"/>
      <c r="C170" s="182"/>
      <c r="D170" s="182"/>
      <c r="E170" s="182"/>
      <c r="F170" s="182"/>
      <c r="G170" s="182"/>
      <c r="H170" s="182"/>
      <c r="I170" s="182"/>
      <c r="J170" s="182"/>
      <c r="K170" s="182"/>
      <c r="L170" s="181"/>
      <c r="M170" s="181"/>
      <c r="N170" s="181"/>
      <c r="O170" s="181"/>
      <c r="P170" s="181"/>
      <c r="Q170" s="181"/>
      <c r="R170" s="181"/>
      <c r="S170" s="181"/>
      <c r="T170" s="181"/>
      <c r="U170" s="181"/>
    </row>
    <row r="171" spans="1:21" ht="14.4" hidden="1">
      <c r="A171" s="181"/>
      <c r="B171" s="182"/>
      <c r="C171" s="182"/>
      <c r="D171" s="182"/>
      <c r="E171" s="182"/>
      <c r="F171" s="182"/>
      <c r="G171" s="182"/>
      <c r="H171" s="182"/>
      <c r="I171" s="182"/>
      <c r="J171" s="182"/>
      <c r="K171" s="182"/>
      <c r="L171" s="462" t="s">
        <v>38</v>
      </c>
      <c r="M171" s="181"/>
      <c r="N171" s="181"/>
      <c r="O171" s="181"/>
      <c r="P171" s="181"/>
      <c r="Q171" s="181"/>
      <c r="R171" s="181"/>
      <c r="S171" s="181"/>
      <c r="T171" s="181"/>
      <c r="U171" s="181"/>
    </row>
    <row r="172" spans="1:21" ht="28.8" hidden="1">
      <c r="A172" s="181"/>
      <c r="B172" s="182"/>
      <c r="C172" s="182"/>
      <c r="D172" s="182"/>
      <c r="E172" s="182"/>
      <c r="F172" s="182"/>
      <c r="G172" s="182"/>
      <c r="H172" s="182"/>
      <c r="I172" s="182"/>
      <c r="J172" s="182"/>
      <c r="K172" s="182"/>
      <c r="L172" s="463" t="s">
        <v>803</v>
      </c>
      <c r="M172" s="182"/>
      <c r="N172" s="182"/>
      <c r="O172" s="182"/>
      <c r="P172" s="182"/>
      <c r="Q172" s="182"/>
      <c r="R172" s="182"/>
      <c r="S172" s="182"/>
      <c r="T172" s="182"/>
      <c r="U172" s="182"/>
    </row>
    <row r="173" spans="1:21" ht="14.4" hidden="1">
      <c r="A173" s="181"/>
      <c r="B173" s="182"/>
      <c r="C173" s="182"/>
      <c r="D173" s="182"/>
      <c r="E173" s="182"/>
      <c r="F173" s="182"/>
      <c r="G173" s="182"/>
      <c r="H173" s="182"/>
      <c r="I173" s="182"/>
      <c r="J173" s="182"/>
      <c r="K173" s="182"/>
      <c r="L173" s="182" t="e">
        <v>#REF!</v>
      </c>
      <c r="M173" s="182"/>
      <c r="N173" s="182"/>
      <c r="O173" s="182"/>
      <c r="P173" s="182"/>
      <c r="Q173" s="182"/>
      <c r="R173" s="182"/>
      <c r="S173" s="182"/>
      <c r="T173" s="182"/>
      <c r="U173" s="182"/>
    </row>
    <row r="174" spans="1:21" ht="14.4" hidden="1">
      <c r="A174" s="181"/>
      <c r="B174" s="182"/>
      <c r="C174" s="182"/>
      <c r="D174" s="182"/>
      <c r="E174" s="182"/>
      <c r="F174" s="182"/>
      <c r="G174" s="182"/>
      <c r="H174" s="182"/>
      <c r="I174" s="182"/>
      <c r="J174" s="182"/>
      <c r="K174" s="182"/>
      <c r="L174" s="464">
        <v>12947558.206754345</v>
      </c>
      <c r="M174" s="182"/>
      <c r="N174" s="182"/>
      <c r="O174" s="182"/>
      <c r="P174" s="182"/>
      <c r="Q174" s="182"/>
      <c r="R174" s="182"/>
      <c r="S174" s="182"/>
      <c r="T174" s="182"/>
      <c r="U174" s="182"/>
    </row>
    <row r="175" spans="1:21" ht="14.4" hidden="1">
      <c r="A175" s="181"/>
      <c r="B175" s="182"/>
      <c r="C175" s="182"/>
      <c r="D175" s="182"/>
      <c r="E175" s="182"/>
      <c r="F175" s="465" t="s">
        <v>804</v>
      </c>
      <c r="G175" s="182"/>
      <c r="H175" s="182"/>
      <c r="I175" s="182"/>
      <c r="J175" s="182"/>
      <c r="K175" s="182"/>
      <c r="L175" s="466" t="e">
        <v>#REF!</v>
      </c>
      <c r="M175" s="182"/>
      <c r="N175" s="182"/>
      <c r="O175" s="182"/>
      <c r="P175" s="182"/>
      <c r="Q175" s="182"/>
      <c r="R175" s="182"/>
      <c r="S175" s="182"/>
      <c r="T175" s="182"/>
      <c r="U175" s="182"/>
    </row>
    <row r="176" spans="1:21" ht="14.4" hidden="1">
      <c r="A176" s="181"/>
      <c r="B176" s="182"/>
      <c r="C176" s="182"/>
      <c r="D176" s="182"/>
      <c r="E176" s="182"/>
      <c r="F176" s="182"/>
      <c r="G176" s="182"/>
      <c r="H176" s="182"/>
      <c r="I176" s="182"/>
      <c r="J176" s="182"/>
      <c r="K176" s="182"/>
      <c r="L176" s="181"/>
      <c r="M176" s="181"/>
      <c r="N176" s="181"/>
      <c r="O176" s="181"/>
      <c r="P176" s="181"/>
      <c r="Q176" s="181"/>
      <c r="R176" s="181"/>
      <c r="S176" s="181"/>
      <c r="T176" s="181"/>
      <c r="U176" s="181"/>
    </row>
    <row r="177" spans="1:21" ht="14.4" hidden="1">
      <c r="A177" s="181"/>
      <c r="B177" s="182"/>
      <c r="C177" s="182"/>
      <c r="D177" s="182"/>
      <c r="E177" s="182"/>
      <c r="F177" s="182"/>
      <c r="G177" s="182"/>
      <c r="H177" s="182"/>
      <c r="I177" s="182"/>
      <c r="J177" s="182"/>
      <c r="K177" s="182"/>
      <c r="L177" s="457" t="s">
        <v>38</v>
      </c>
      <c r="M177" s="457" t="s">
        <v>430</v>
      </c>
      <c r="N177" s="457" t="s">
        <v>431</v>
      </c>
      <c r="O177" s="457" t="s">
        <v>432</v>
      </c>
      <c r="P177" s="457" t="s">
        <v>433</v>
      </c>
      <c r="Q177" s="457" t="s">
        <v>434</v>
      </c>
      <c r="R177" s="457" t="s">
        <v>434</v>
      </c>
      <c r="S177" s="457" t="s">
        <v>434</v>
      </c>
      <c r="T177" s="457" t="s">
        <v>434</v>
      </c>
      <c r="U177" s="457" t="s">
        <v>434</v>
      </c>
    </row>
    <row r="178" spans="1:21" ht="14.4" hidden="1">
      <c r="A178" s="181"/>
      <c r="B178" s="182"/>
      <c r="C178" s="182"/>
      <c r="D178" s="182"/>
      <c r="E178" s="182"/>
      <c r="F178" s="182"/>
      <c r="G178" s="182"/>
      <c r="H178" s="182"/>
      <c r="I178" s="182"/>
      <c r="J178" s="182"/>
      <c r="K178" s="182"/>
      <c r="L178" s="458">
        <v>6000</v>
      </c>
      <c r="M178" s="459">
        <v>6010</v>
      </c>
      <c r="N178" s="459">
        <v>6020</v>
      </c>
      <c r="O178" s="459">
        <v>6050</v>
      </c>
      <c r="P178" s="459">
        <v>6080</v>
      </c>
      <c r="Q178" s="459">
        <v>6111</v>
      </c>
      <c r="R178" s="459">
        <v>6111</v>
      </c>
      <c r="S178" s="459">
        <v>6111</v>
      </c>
      <c r="T178" s="459">
        <v>6111</v>
      </c>
      <c r="U178" s="459">
        <v>6111</v>
      </c>
    </row>
    <row r="179" spans="1:21" ht="14.4" hidden="1">
      <c r="A179" s="181"/>
      <c r="B179" s="182"/>
      <c r="C179" s="182"/>
      <c r="D179" s="182"/>
      <c r="E179" s="182"/>
      <c r="F179" s="182"/>
      <c r="G179" s="182"/>
      <c r="H179" s="182"/>
      <c r="I179" s="182"/>
      <c r="J179" s="182"/>
      <c r="K179" s="182"/>
      <c r="L179" s="458">
        <v>193</v>
      </c>
      <c r="M179" s="459">
        <v>193</v>
      </c>
      <c r="N179" s="459">
        <v>193</v>
      </c>
      <c r="O179" s="459">
        <v>193</v>
      </c>
      <c r="P179" s="459">
        <v>193</v>
      </c>
      <c r="Q179" s="459">
        <v>193</v>
      </c>
      <c r="R179" s="459">
        <v>193</v>
      </c>
      <c r="S179" s="459">
        <v>193</v>
      </c>
      <c r="T179" s="459">
        <v>193</v>
      </c>
      <c r="U179" s="459">
        <v>193</v>
      </c>
    </row>
    <row r="180" spans="1:21" ht="14.4" hidden="1">
      <c r="A180" s="181"/>
      <c r="B180" s="182"/>
      <c r="C180" s="182"/>
      <c r="D180" s="182"/>
      <c r="E180" s="182"/>
      <c r="F180" s="182"/>
      <c r="G180" s="182"/>
      <c r="H180" s="182"/>
      <c r="I180" s="182"/>
      <c r="J180" s="182"/>
      <c r="K180" s="182"/>
      <c r="L180" s="458">
        <v>127</v>
      </c>
      <c r="M180" s="459">
        <v>127</v>
      </c>
      <c r="N180" s="459">
        <v>127</v>
      </c>
      <c r="O180" s="459">
        <v>127</v>
      </c>
      <c r="P180" s="459">
        <v>127</v>
      </c>
      <c r="Q180" s="459">
        <v>127</v>
      </c>
      <c r="R180" s="459">
        <v>127</v>
      </c>
      <c r="S180" s="459">
        <v>127</v>
      </c>
      <c r="T180" s="459">
        <v>127</v>
      </c>
      <c r="U180" s="459">
        <v>127</v>
      </c>
    </row>
    <row r="181" spans="1:21" ht="14.4" hidden="1">
      <c r="A181" s="196"/>
      <c r="B181" s="182"/>
      <c r="C181" s="182"/>
      <c r="D181" s="182"/>
      <c r="E181" s="182"/>
      <c r="F181" s="182"/>
      <c r="G181" s="182"/>
      <c r="H181" s="182"/>
      <c r="I181" s="182"/>
      <c r="J181" s="182"/>
      <c r="K181" s="182"/>
      <c r="L181" s="458">
        <v>272</v>
      </c>
      <c r="M181" s="459">
        <v>272</v>
      </c>
      <c r="N181" s="459">
        <v>272</v>
      </c>
      <c r="O181" s="459">
        <v>272</v>
      </c>
      <c r="P181" s="459">
        <v>272</v>
      </c>
      <c r="Q181" s="459">
        <v>272</v>
      </c>
      <c r="R181" s="459">
        <v>272</v>
      </c>
      <c r="S181" s="459">
        <v>272</v>
      </c>
      <c r="T181" s="459">
        <v>272</v>
      </c>
      <c r="U181" s="459">
        <v>272</v>
      </c>
    </row>
    <row r="182" spans="1:21" ht="14.4" hidden="1">
      <c r="A182" s="196"/>
      <c r="B182" s="182"/>
      <c r="C182" s="182"/>
      <c r="D182" s="182"/>
      <c r="E182" s="182"/>
      <c r="F182" s="182"/>
      <c r="G182" s="182"/>
      <c r="H182" s="182"/>
      <c r="I182" s="182"/>
      <c r="J182" s="182"/>
      <c r="K182" s="182"/>
      <c r="L182" s="458">
        <v>1515</v>
      </c>
      <c r="M182" s="459">
        <v>1515</v>
      </c>
      <c r="N182" s="459">
        <v>1515</v>
      </c>
      <c r="O182" s="459">
        <v>1515</v>
      </c>
      <c r="P182" s="459">
        <v>1515</v>
      </c>
      <c r="Q182" s="459">
        <v>1515</v>
      </c>
      <c r="R182" s="459">
        <v>1515</v>
      </c>
      <c r="S182" s="459">
        <v>1515</v>
      </c>
      <c r="T182" s="459">
        <v>1515</v>
      </c>
      <c r="U182" s="459">
        <v>1515</v>
      </c>
    </row>
    <row r="183" spans="1:21" ht="14.4" hidden="1">
      <c r="A183" s="196"/>
      <c r="B183" s="196"/>
      <c r="C183" s="182"/>
      <c r="D183" s="182"/>
      <c r="E183" s="182"/>
      <c r="F183" s="182"/>
      <c r="G183" s="182"/>
      <c r="H183" s="182"/>
      <c r="I183" s="182"/>
      <c r="J183" s="182"/>
      <c r="K183" s="182"/>
      <c r="L183" s="458">
        <v>1136</v>
      </c>
      <c r="M183" s="459">
        <v>1136</v>
      </c>
      <c r="N183" s="459">
        <v>1136</v>
      </c>
      <c r="O183" s="459">
        <v>1136</v>
      </c>
      <c r="P183" s="459">
        <v>1136</v>
      </c>
      <c r="Q183" s="459">
        <v>1136</v>
      </c>
      <c r="R183" s="459">
        <v>1136</v>
      </c>
      <c r="S183" s="459">
        <v>1136</v>
      </c>
      <c r="T183" s="459">
        <v>1136</v>
      </c>
      <c r="U183" s="459">
        <v>1136</v>
      </c>
    </row>
    <row r="184" spans="1:21" ht="14.4" hidden="1">
      <c r="A184" s="196"/>
      <c r="B184" s="196"/>
      <c r="C184" s="182"/>
      <c r="D184" s="182"/>
      <c r="E184" s="182"/>
      <c r="F184" s="182"/>
      <c r="G184" s="182"/>
      <c r="H184" s="182"/>
      <c r="I184" s="182"/>
      <c r="J184" s="182"/>
      <c r="K184" s="182"/>
      <c r="L184" s="458">
        <v>758</v>
      </c>
      <c r="M184" s="459">
        <v>758</v>
      </c>
      <c r="N184" s="459">
        <v>758</v>
      </c>
      <c r="O184" s="459">
        <v>758</v>
      </c>
      <c r="P184" s="459">
        <v>758</v>
      </c>
      <c r="Q184" s="459">
        <v>758</v>
      </c>
      <c r="R184" s="459">
        <v>758</v>
      </c>
      <c r="S184" s="459">
        <v>758</v>
      </c>
      <c r="T184" s="459">
        <v>758</v>
      </c>
      <c r="U184" s="459">
        <v>758</v>
      </c>
    </row>
    <row r="185" spans="1:21" ht="14.4" hidden="1">
      <c r="B185" s="205"/>
      <c r="C185" s="182"/>
      <c r="D185" s="182"/>
      <c r="E185" s="182"/>
      <c r="F185" s="182"/>
      <c r="G185" s="182"/>
      <c r="H185" s="182"/>
      <c r="I185" s="182"/>
      <c r="J185" s="182"/>
      <c r="K185" s="182"/>
      <c r="L185" s="460">
        <v>5.05</v>
      </c>
      <c r="M185" s="461">
        <v>5.05</v>
      </c>
      <c r="N185" s="461">
        <v>5.05</v>
      </c>
      <c r="O185" s="461">
        <v>5.05</v>
      </c>
      <c r="P185" s="461">
        <v>5.05</v>
      </c>
      <c r="Q185" s="461">
        <v>5.05</v>
      </c>
      <c r="R185" s="461">
        <v>5.05</v>
      </c>
      <c r="S185" s="461">
        <v>5.05</v>
      </c>
      <c r="T185" s="461">
        <v>5.05</v>
      </c>
      <c r="U185" s="461">
        <v>5.05</v>
      </c>
    </row>
    <row r="186" spans="1:21" ht="14.4" hidden="1">
      <c r="C186" s="196"/>
      <c r="D186" s="196"/>
      <c r="E186" s="196"/>
      <c r="F186" s="196"/>
      <c r="G186" s="196"/>
      <c r="H186" s="196"/>
      <c r="I186" s="196"/>
      <c r="J186" s="196"/>
      <c r="K186" s="196"/>
      <c r="L186" s="458">
        <v>1578</v>
      </c>
      <c r="M186" s="459">
        <v>1578</v>
      </c>
      <c r="N186" s="459">
        <v>1578</v>
      </c>
      <c r="O186" s="459">
        <v>1578</v>
      </c>
      <c r="P186" s="459">
        <v>1578</v>
      </c>
      <c r="Q186" s="459">
        <v>1578</v>
      </c>
      <c r="R186" s="459">
        <v>1578</v>
      </c>
      <c r="S186" s="459">
        <v>1578</v>
      </c>
      <c r="T186" s="459">
        <v>1578</v>
      </c>
      <c r="U186" s="459">
        <v>1578</v>
      </c>
    </row>
    <row r="187" spans="1:21" ht="14.4" hidden="1">
      <c r="C187" s="196"/>
      <c r="D187" s="196"/>
      <c r="E187" s="196"/>
      <c r="F187" s="196"/>
      <c r="G187" s="196"/>
      <c r="H187" s="196"/>
      <c r="I187" s="196"/>
      <c r="J187" s="196"/>
      <c r="K187" s="196"/>
      <c r="L187" s="458">
        <v>4005</v>
      </c>
      <c r="M187" s="459">
        <v>4005</v>
      </c>
      <c r="N187" s="459">
        <v>4005</v>
      </c>
      <c r="O187" s="459">
        <v>4005</v>
      </c>
      <c r="P187" s="459">
        <v>4005</v>
      </c>
      <c r="Q187" s="459">
        <v>4005</v>
      </c>
      <c r="R187" s="459">
        <v>4005</v>
      </c>
      <c r="S187" s="459">
        <v>4005</v>
      </c>
      <c r="T187" s="459">
        <v>4005</v>
      </c>
      <c r="U187" s="459">
        <v>4005</v>
      </c>
    </row>
    <row r="188" spans="1:21" ht="14.4" hidden="1">
      <c r="L188" s="458">
        <v>9622</v>
      </c>
      <c r="M188" s="459">
        <v>9622</v>
      </c>
      <c r="N188" s="459">
        <v>9622</v>
      </c>
      <c r="O188" s="459">
        <v>9622</v>
      </c>
      <c r="P188" s="459">
        <v>9622</v>
      </c>
      <c r="Q188" s="459">
        <v>9622</v>
      </c>
      <c r="R188" s="459">
        <v>9622</v>
      </c>
      <c r="S188" s="459">
        <v>9622</v>
      </c>
      <c r="T188" s="459">
        <v>9622</v>
      </c>
      <c r="U188" s="459">
        <v>9622</v>
      </c>
    </row>
    <row r="189" spans="1:21" ht="14.4" hidden="1">
      <c r="L189" s="458">
        <v>12841</v>
      </c>
      <c r="M189" s="459">
        <v>12841</v>
      </c>
      <c r="N189" s="459">
        <v>12841</v>
      </c>
      <c r="O189" s="459">
        <v>12841</v>
      </c>
      <c r="P189" s="459">
        <v>12841</v>
      </c>
      <c r="Q189" s="459">
        <v>12841</v>
      </c>
      <c r="R189" s="459">
        <v>12841</v>
      </c>
      <c r="S189" s="459">
        <v>12841</v>
      </c>
      <c r="T189" s="459">
        <v>12841</v>
      </c>
      <c r="U189" s="459">
        <v>12841</v>
      </c>
    </row>
    <row r="190" spans="1:21" ht="14.4" hidden="1">
      <c r="L190" s="458">
        <v>17390</v>
      </c>
      <c r="M190" s="459">
        <v>17390</v>
      </c>
      <c r="N190" s="459">
        <v>17390</v>
      </c>
      <c r="O190" s="459">
        <v>17390</v>
      </c>
      <c r="P190" s="459">
        <v>17390</v>
      </c>
      <c r="Q190" s="459">
        <v>17390</v>
      </c>
      <c r="R190" s="459">
        <v>17390</v>
      </c>
      <c r="S190" s="459">
        <v>17390</v>
      </c>
      <c r="T190" s="459">
        <v>17390</v>
      </c>
      <c r="U190" s="459">
        <v>17390</v>
      </c>
    </row>
    <row r="191" spans="1:21" ht="14.4" hidden="1">
      <c r="L191" s="458">
        <v>25637</v>
      </c>
      <c r="M191" s="459">
        <v>25637</v>
      </c>
      <c r="N191" s="459">
        <v>25637</v>
      </c>
      <c r="O191" s="459">
        <v>25637</v>
      </c>
      <c r="P191" s="459">
        <v>25637</v>
      </c>
      <c r="Q191" s="459">
        <v>25637</v>
      </c>
      <c r="R191" s="459">
        <v>25637</v>
      </c>
      <c r="S191" s="459">
        <v>25637</v>
      </c>
      <c r="T191" s="459">
        <v>25637</v>
      </c>
      <c r="U191" s="459">
        <v>25637</v>
      </c>
    </row>
    <row r="192" spans="1:21" ht="14.4" hidden="1">
      <c r="L192" s="458">
        <v>5192</v>
      </c>
      <c r="M192" s="459">
        <v>5192</v>
      </c>
      <c r="N192" s="459">
        <v>5192</v>
      </c>
      <c r="O192" s="459">
        <v>5192</v>
      </c>
      <c r="P192" s="459">
        <v>5192</v>
      </c>
      <c r="Q192" s="459">
        <v>5192</v>
      </c>
      <c r="R192" s="459">
        <v>5192</v>
      </c>
      <c r="S192" s="459">
        <v>5192</v>
      </c>
      <c r="T192" s="459">
        <v>5192</v>
      </c>
      <c r="U192" s="459">
        <v>5192</v>
      </c>
    </row>
    <row r="193" spans="12:21" ht="14.4" hidden="1">
      <c r="L193" s="458">
        <v>4921</v>
      </c>
      <c r="M193" s="459">
        <v>4921</v>
      </c>
      <c r="N193" s="459">
        <v>4921</v>
      </c>
      <c r="O193" s="459">
        <v>4921</v>
      </c>
      <c r="P193" s="459">
        <v>4921</v>
      </c>
      <c r="Q193" s="459">
        <v>4921</v>
      </c>
      <c r="R193" s="459">
        <v>4921</v>
      </c>
      <c r="S193" s="459">
        <v>4921</v>
      </c>
      <c r="T193" s="459">
        <v>4921</v>
      </c>
      <c r="U193" s="459">
        <v>4921</v>
      </c>
    </row>
    <row r="194" spans="12:21" ht="14.4" hidden="1">
      <c r="L194" s="458">
        <v>1795</v>
      </c>
      <c r="M194" s="459">
        <v>1795</v>
      </c>
      <c r="N194" s="459">
        <v>1795</v>
      </c>
      <c r="O194" s="459">
        <v>1795</v>
      </c>
      <c r="P194" s="459">
        <v>1795</v>
      </c>
      <c r="Q194" s="459">
        <v>1795</v>
      </c>
      <c r="R194" s="459">
        <v>1795</v>
      </c>
      <c r="S194" s="459">
        <v>1795</v>
      </c>
      <c r="T194" s="459">
        <v>1795</v>
      </c>
      <c r="U194" s="459">
        <v>1795</v>
      </c>
    </row>
    <row r="195" spans="12:21" ht="14.4" hidden="1">
      <c r="L195" s="458">
        <v>1525</v>
      </c>
      <c r="M195" s="459">
        <v>1525</v>
      </c>
      <c r="N195" s="459">
        <v>1525</v>
      </c>
      <c r="O195" s="459">
        <v>1525</v>
      </c>
      <c r="P195" s="459">
        <v>1525</v>
      </c>
      <c r="Q195" s="459">
        <v>1525</v>
      </c>
      <c r="R195" s="459">
        <v>1525</v>
      </c>
      <c r="S195" s="459">
        <v>1525</v>
      </c>
      <c r="T195" s="459">
        <v>1525</v>
      </c>
      <c r="U195" s="459">
        <v>1525</v>
      </c>
    </row>
    <row r="196" spans="12:21" ht="14.4" hidden="1">
      <c r="L196" s="458">
        <v>1308</v>
      </c>
      <c r="M196" s="459">
        <v>1308</v>
      </c>
      <c r="N196" s="459">
        <v>1308</v>
      </c>
      <c r="O196" s="459">
        <v>1308</v>
      </c>
      <c r="P196" s="459">
        <v>1308</v>
      </c>
      <c r="Q196" s="459">
        <v>1308</v>
      </c>
      <c r="R196" s="459">
        <v>1308</v>
      </c>
      <c r="S196" s="459">
        <v>1308</v>
      </c>
      <c r="T196" s="459">
        <v>1308</v>
      </c>
      <c r="U196" s="459">
        <v>1308</v>
      </c>
    </row>
    <row r="197" spans="12:21" ht="14.4" hidden="1">
      <c r="L197" s="458">
        <v>245</v>
      </c>
      <c r="M197" s="459">
        <v>245</v>
      </c>
      <c r="N197" s="459">
        <v>245</v>
      </c>
      <c r="O197" s="459">
        <v>245</v>
      </c>
      <c r="P197" s="459">
        <v>245</v>
      </c>
      <c r="Q197" s="459">
        <v>245</v>
      </c>
      <c r="R197" s="459">
        <v>245</v>
      </c>
      <c r="S197" s="459">
        <v>245</v>
      </c>
      <c r="T197" s="459">
        <v>245</v>
      </c>
      <c r="U197" s="459">
        <v>245</v>
      </c>
    </row>
    <row r="198" spans="12:21" hidden="1"/>
    <row r="199" spans="12:21" hidden="1"/>
    <row r="200" spans="12:21" hidden="1"/>
    <row r="201" spans="12:21" hidden="1"/>
    <row r="202" spans="12:21" hidden="1"/>
    <row r="203" spans="12:21" hidden="1"/>
    <row r="204" spans="12:21" hidden="1"/>
    <row r="205" spans="12:21" hidden="1"/>
    <row r="206" spans="12:21" hidden="1"/>
    <row r="207" spans="12:21" hidden="1"/>
    <row r="208" spans="12:21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53</vt:i4>
      </vt:variant>
    </vt:vector>
  </HeadingPairs>
  <TitlesOfParts>
    <vt:vector size="69" baseType="lpstr">
      <vt:lpstr>Cover</vt:lpstr>
      <vt:lpstr>Forecast</vt:lpstr>
      <vt:lpstr>Revision</vt:lpstr>
      <vt:lpstr>Summary</vt:lpstr>
      <vt:lpstr>Forecast vs Actual</vt:lpstr>
      <vt:lpstr>Tax</vt:lpstr>
      <vt:lpstr>TIF</vt:lpstr>
      <vt:lpstr>Note Calc</vt:lpstr>
      <vt:lpstr>SFPR</vt:lpstr>
      <vt:lpstr>Staffing</vt:lpstr>
      <vt:lpstr>Graphs</vt:lpstr>
      <vt:lpstr>Levy Analysis</vt:lpstr>
      <vt:lpstr>SM1</vt:lpstr>
      <vt:lpstr>USASFF</vt:lpstr>
      <vt:lpstr>Submit</vt:lpstr>
      <vt:lpstr>Prior-CSV</vt:lpstr>
      <vt:lpstr>AssessedValue</vt:lpstr>
      <vt:lpstr>Average</vt:lpstr>
      <vt:lpstr>BasicAid</vt:lpstr>
      <vt:lpstr>Benefits</vt:lpstr>
      <vt:lpstr>Capital</vt:lpstr>
      <vt:lpstr>Debt</vt:lpstr>
      <vt:lpstr>Encum</vt:lpstr>
      <vt:lpstr>EndBal</vt:lpstr>
      <vt:lpstr>Federal</vt:lpstr>
      <vt:lpstr>Forecasted_YR1</vt:lpstr>
      <vt:lpstr>Forecasted_yr1Notecalc</vt:lpstr>
      <vt:lpstr>GeneralTax</vt:lpstr>
      <vt:lpstr>Graph4</vt:lpstr>
      <vt:lpstr>Graph6</vt:lpstr>
      <vt:lpstr>GraphAnchor</vt:lpstr>
      <vt:lpstr>HB</vt:lpstr>
      <vt:lpstr>Home</vt:lpstr>
      <vt:lpstr>IncomeTax</vt:lpstr>
      <vt:lpstr>Interest</vt:lpstr>
      <vt:lpstr>Loan</vt:lpstr>
      <vt:lpstr>MiscRev</vt:lpstr>
      <vt:lpstr>New_Year</vt:lpstr>
      <vt:lpstr>NewLevy</vt:lpstr>
      <vt:lpstr>NoteCalcAnchor</vt:lpstr>
      <vt:lpstr>Notes</vt:lpstr>
      <vt:lpstr>Other</vt:lpstr>
      <vt:lpstr>OtherUse</vt:lpstr>
      <vt:lpstr>Cover!Print_Area</vt:lpstr>
      <vt:lpstr>Forecast!Print_Area</vt:lpstr>
      <vt:lpstr>Graphs!Print_Area</vt:lpstr>
      <vt:lpstr>'Levy Analysis'!Print_Area</vt:lpstr>
      <vt:lpstr>'Note Calc'!Print_Area</vt:lpstr>
      <vt:lpstr>'SM1'!Print_Area</vt:lpstr>
      <vt:lpstr>Forecast!Print_Titles</vt:lpstr>
      <vt:lpstr>PUPP</vt:lpstr>
      <vt:lpstr>Purchased</vt:lpstr>
      <vt:lpstr>RenewLevy</vt:lpstr>
      <vt:lpstr>RenewSDIT</vt:lpstr>
      <vt:lpstr>Reserve</vt:lpstr>
      <vt:lpstr>Restricted</vt:lpstr>
      <vt:lpstr>Revision_base</vt:lpstr>
      <vt:lpstr>RH</vt:lpstr>
      <vt:lpstr>ROPE</vt:lpstr>
      <vt:lpstr>SFPR_Anchor</vt:lpstr>
      <vt:lpstr>SMO</vt:lpstr>
      <vt:lpstr>Staff_Anchor</vt:lpstr>
      <vt:lpstr>STRS</vt:lpstr>
      <vt:lpstr>Summary</vt:lpstr>
      <vt:lpstr>Tax_Test</vt:lpstr>
      <vt:lpstr>TaxAnchor</vt:lpstr>
      <vt:lpstr>TranAdIIN</vt:lpstr>
      <vt:lpstr>TranAdOut</vt:lpstr>
      <vt:lpstr>Wages</vt:lpstr>
    </vt:vector>
  </TitlesOfParts>
  <Company>K-12 Business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S. Mohr</dc:creator>
  <cp:lastModifiedBy>Bradd Stevens</cp:lastModifiedBy>
  <cp:lastPrinted>2022-05-17T10:24:55Z</cp:lastPrinted>
  <dcterms:created xsi:type="dcterms:W3CDTF">2000-12-21T21:14:30Z</dcterms:created>
  <dcterms:modified xsi:type="dcterms:W3CDTF">2022-05-17T10:32:15Z</dcterms:modified>
</cp:coreProperties>
</file>